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20" windowWidth="9720" windowHeight="3645" activeTab="1"/>
  </bookViews>
  <sheets>
    <sheet name="Overview" sheetId="1" r:id="rId1"/>
    <sheet name="Ships Log" sheetId="2" r:id="rId2"/>
    <sheet name="Chart" sheetId="3" r:id="rId3"/>
    <sheet name="Fuel" sheetId="4" r:id="rId4"/>
    <sheet name="Fuel Const" sheetId="5" r:id="rId5"/>
    <sheet name="Change History" sheetId="6" r:id="rId6"/>
  </sheets>
  <externalReferences>
    <externalReference r:id="rId9"/>
  </externalReferences>
  <definedNames>
    <definedName name="B0earth">#REF!</definedName>
    <definedName name="B0mars">#REF!</definedName>
    <definedName name="B0venus">#REF!</definedName>
    <definedName name="B1earth">#REF!</definedName>
    <definedName name="B1mars">#REF!</definedName>
    <definedName name="B1venus">#REF!</definedName>
    <definedName name="B2mars">#REF!</definedName>
    <definedName name="B2venus">#REF!</definedName>
    <definedName name="B3mars">#REF!</definedName>
    <definedName name="B3venus">#REF!</definedName>
    <definedName name="B4mars">#REF!</definedName>
    <definedName name="B4venus">#REF!</definedName>
    <definedName name="Body">#REF!</definedName>
    <definedName name="Center">#REF!</definedName>
    <definedName name="Dec">#REF!</definedName>
    <definedName name="Eng_Rate" localSheetId="4">'Fuel Const'!$B$2</definedName>
    <definedName name="Eng_Rate">'[1]Sheet3'!$B$4</definedName>
    <definedName name="EngGenList">'Fuel Const'!$A$2:$A$3</definedName>
    <definedName name="EngRate">'Fuel Const'!$B$2</definedName>
    <definedName name="FuelCap">'Fuel Const'!$D$12</definedName>
    <definedName name="FuelMain">'Fuel Const'!$D$10</definedName>
    <definedName name="Gen_Rate" localSheetId="4">'Fuel Const'!$B$3</definedName>
    <definedName name="Gen_Rate">'[1]Sheet3'!$B$5</definedName>
    <definedName name="GenRate">'Fuel Const'!$B$3</definedName>
    <definedName name="Hc">#REF!</definedName>
    <definedName name="L0earth">#REF!</definedName>
    <definedName name="L0mars">#REF!</definedName>
    <definedName name="L0venus">#REF!</definedName>
    <definedName name="L1earth">#REF!</definedName>
    <definedName name="L1mars">#REF!</definedName>
    <definedName name="L1venus">#REF!</definedName>
    <definedName name="L2earth">#REF!</definedName>
    <definedName name="L2mars">#REF!</definedName>
    <definedName name="L2venus">#REF!</definedName>
    <definedName name="L3earth">#REF!</definedName>
    <definedName name="L3mars">#REF!</definedName>
    <definedName name="L3venus">#REF!</definedName>
    <definedName name="L4earth">#REF!</definedName>
    <definedName name="L4mars">#REF!</definedName>
    <definedName name="L4venus">#REF!</definedName>
    <definedName name="L5earth">#REF!</definedName>
    <definedName name="L5mars">#REF!</definedName>
    <definedName name="L5venus">#REF!</definedName>
    <definedName name="Last_Day_of_Month">#REF!</definedName>
    <definedName name="Lat">#REF!</definedName>
    <definedName name="LHA">#REF!</definedName>
    <definedName name="Limb">#REF!</definedName>
    <definedName name="Lon">#REF!</definedName>
    <definedName name="Lower">#REF!</definedName>
    <definedName name="Moon">#REF!</definedName>
    <definedName name="MotorEng">'Fuel Const'!$A$6:$A$7</definedName>
    <definedName name="MotorGen">'Fuel Const'!$B$6:$B$7</definedName>
    <definedName name="MotorHours">'Fuel'!$E$2:$F$18</definedName>
    <definedName name="MotorList" localSheetId="4">'Fuel Const'!$A$2:$A$3</definedName>
    <definedName name="MotorTable">'Fuel Const'!$A$2:$B$3</definedName>
    <definedName name="Rearth0">#REF!</definedName>
    <definedName name="Rearth1">#REF!</definedName>
    <definedName name="Rearth2">#REF!</definedName>
    <definedName name="Rearth3">#REF!</definedName>
    <definedName name="Rearth4">#REF!</definedName>
    <definedName name="Rmars0">#REF!</definedName>
    <definedName name="Rmars1">#REF!</definedName>
    <definedName name="Rmars2">#REF!</definedName>
    <definedName name="Rmars3">#REF!</definedName>
    <definedName name="Rmars4">#REF!</definedName>
    <definedName name="Rvenus0">#REF!</definedName>
    <definedName name="Rvenus1">#REF!</definedName>
    <definedName name="Rvenus2">#REF!</definedName>
    <definedName name="Rvenus3">#REF!</definedName>
    <definedName name="Rvenus4">#REF!</definedName>
    <definedName name="Select_Planet">#REF!</definedName>
    <definedName name="Sun">#REF!</definedName>
    <definedName name="Sun_Semi_Diameter">#REF!</definedName>
    <definedName name="Upper">#REF!</definedName>
  </definedNames>
  <calcPr fullCalcOnLoad="1"/>
</workbook>
</file>

<file path=xl/sharedStrings.xml><?xml version="1.0" encoding="utf-8"?>
<sst xmlns="http://schemas.openxmlformats.org/spreadsheetml/2006/main" count="217" uniqueCount="165">
  <si>
    <r>
      <t xml:space="preserve">Speed:  </t>
    </r>
    <r>
      <rPr>
        <sz val="10"/>
        <rFont val="Arial"/>
        <family val="0"/>
      </rPr>
      <t>This is the estimated average speed through the water during the interval of the log entry.</t>
    </r>
  </si>
  <si>
    <r>
      <t xml:space="preserve">App WD: </t>
    </r>
    <r>
      <rPr>
        <sz val="10"/>
        <rFont val="Arial"/>
        <family val="0"/>
      </rPr>
      <t xml:space="preserve"> This is the estimated average apparent wind direction during the interval of the log entry.  The apparent wind direction is in degrees from dead ahead (0 - 180).  Record the value as position when one one tack and negative when on the other tack.  For example an apparent wind of 150 degrees on starboard tack might be recorded as 150, while an apparent wind of 35 degrees on port tack would be recorded as -35.  It does not matter which tack is negative and which is positive as long as you are consistent throughout the log.</t>
    </r>
  </si>
  <si>
    <r>
      <t xml:space="preserve">App WS: </t>
    </r>
    <r>
      <rPr>
        <sz val="10"/>
        <rFont val="Arial"/>
        <family val="0"/>
      </rPr>
      <t>This is the estimated average wind speed during the interval of the log entry.</t>
    </r>
  </si>
  <si>
    <r>
      <t xml:space="preserve">Comments: </t>
    </r>
    <r>
      <rPr>
        <sz val="10"/>
        <rFont val="Arial"/>
        <family val="0"/>
      </rPr>
      <t xml:space="preserve"> A brief description of why the log entry was entered.  If the log is a scheduled entry (e.g., watch change) there is no need enter a comment, but if the log has been taken because some condition has changed significantly (e.g, course change) then an explanation should be made.</t>
    </r>
  </si>
  <si>
    <t>Explanation of calculated values:</t>
  </si>
  <si>
    <t>In protected (yellow) areas of the log sheet are calculated log values.  These values are automatically generated by the spreadsheet based on the values your enter into the log.</t>
  </si>
  <si>
    <r>
      <t xml:space="preserve">At the top of the work sheet there are two calculated values, the </t>
    </r>
    <r>
      <rPr>
        <b/>
        <i/>
        <u val="single"/>
        <sz val="10"/>
        <rFont val="Arial"/>
        <family val="2"/>
      </rPr>
      <t>Current Time</t>
    </r>
    <r>
      <rPr>
        <sz val="10"/>
        <rFont val="Arial"/>
        <family val="0"/>
      </rPr>
      <t xml:space="preserve"> and </t>
    </r>
    <r>
      <rPr>
        <b/>
        <i/>
        <u val="single"/>
        <sz val="10"/>
        <rFont val="Arial"/>
        <family val="2"/>
      </rPr>
      <t>Estimated Position</t>
    </r>
    <r>
      <rPr>
        <sz val="10"/>
        <rFont val="Arial"/>
        <family val="0"/>
      </rPr>
      <t>.</t>
    </r>
  </si>
  <si>
    <r>
      <t>Current Time:</t>
    </r>
    <r>
      <rPr>
        <sz val="10"/>
        <rFont val="Arial"/>
        <family val="0"/>
      </rPr>
      <t xml:space="preserve">  This is the date and time set in your computer</t>
    </r>
  </si>
  <si>
    <r>
      <t>UTC Correction:</t>
    </r>
    <r>
      <rPr>
        <sz val="10"/>
        <rFont val="Arial"/>
        <family val="0"/>
      </rPr>
      <t xml:space="preserve">  Enter the difference in hours between the time in your computer and Universal Coordinated Time (Greenwhich Mean Time, Zulu, etc.).  Use this cell if your are reporting UTC for the time in each log entry (recommended).  If you are using the computer time (i.e., you've set your computer time to UTC or you are using local time)  leave this cell blank or enter zero (0).</t>
    </r>
  </si>
  <si>
    <t>On each log entry row the spreadsheet calculates the following log values:</t>
  </si>
  <si>
    <r>
      <t xml:space="preserve">Distance: </t>
    </r>
    <r>
      <rPr>
        <sz val="10"/>
        <rFont val="Arial"/>
        <family val="0"/>
      </rPr>
      <t xml:space="preserve"> The spreadsheet calculates the distance covered since the last log record.</t>
    </r>
  </si>
  <si>
    <r>
      <t xml:space="preserve">Log: </t>
    </r>
    <r>
      <rPr>
        <sz val="10"/>
        <rFont val="Arial"/>
        <family val="0"/>
      </rPr>
      <t xml:space="preserve"> If you do not enter a log value in the unprotected area the spreadsheet will calculate a log value by adding the Distance value to the </t>
    </r>
    <r>
      <rPr>
        <b/>
        <i/>
        <u val="single"/>
        <sz val="10"/>
        <rFont val="Arial"/>
        <family val="2"/>
      </rPr>
      <t>Log</t>
    </r>
    <r>
      <rPr>
        <sz val="10"/>
        <rFont val="Arial"/>
        <family val="0"/>
      </rPr>
      <t xml:space="preserve"> value of the previous record.</t>
    </r>
  </si>
  <si>
    <r>
      <t>Time:</t>
    </r>
    <r>
      <rPr>
        <sz val="10"/>
        <rFont val="Arial"/>
        <family val="0"/>
      </rPr>
      <t xml:space="preserve">  The spreadsheet calculates the time (hours:minutes:seconds) since the last log entery.</t>
    </r>
  </si>
  <si>
    <r>
      <t>Speed:</t>
    </r>
    <r>
      <rPr>
        <sz val="10"/>
        <rFont val="Arial"/>
        <family val="0"/>
      </rPr>
      <t xml:space="preserve">  If your do not enter a speed value in the unprotected area, the spreadsheet will calculate your average speed using the coordinates of this and the previous log record.</t>
    </r>
  </si>
  <si>
    <r>
      <t>24 Hour Run:</t>
    </r>
    <r>
      <rPr>
        <sz val="10"/>
        <rFont val="Arial"/>
        <family val="0"/>
      </rPr>
      <t xml:space="preserve">  The spreadsheet calculates an estimate of the distance covered in the 24 hour period ending at the time of this log record.  This is a very rough estimate derived by calculating the average speed from the latest record that is more than 24 hours prior to this record and interpolating the distance covered in 24 hours at that speed.  If you have made significant course changes in that 24 hour period, this calculation will have little value.</t>
    </r>
  </si>
  <si>
    <r>
      <t>Latitude:</t>
    </r>
    <r>
      <rPr>
        <sz val="10"/>
        <rFont val="Arial"/>
        <family val="0"/>
      </rPr>
      <t xml:space="preserve">  If you do not enter a latitude and longitude in the unprotected area of the record, the spreadsheet will calculate your current position using the course and log values entered and the previous log record.</t>
    </r>
  </si>
  <si>
    <r>
      <t>Longitude:</t>
    </r>
    <r>
      <rPr>
        <sz val="10"/>
        <rFont val="Arial"/>
        <family val="0"/>
      </rPr>
      <t xml:space="preserve"> If you do not enter a latitude and longitude in the unprotected area of the record, the spreadsheet will calculate your current position using the course and log values entered and the previous log record.</t>
    </r>
  </si>
  <si>
    <r>
      <t>Distance Made Good:</t>
    </r>
    <r>
      <rPr>
        <sz val="10"/>
        <rFont val="Arial"/>
        <family val="0"/>
      </rPr>
      <t xml:space="preserve">  The spreadsheet calculates the distance covered directly toward the destination.</t>
    </r>
  </si>
  <si>
    <r>
      <t>DMG Ratio:</t>
    </r>
    <r>
      <rPr>
        <sz val="10"/>
        <rFont val="Arial"/>
        <family val="0"/>
      </rPr>
      <t xml:space="preserve">  The spreadsheet calculates the ratio of the DMG to the actual distance (log value) reported in this log record.  The closer the ratio is one (1) the closer you are to heading directly toward your destination.  A negative ratio means you are heading away from your destination.</t>
    </r>
  </si>
  <si>
    <r>
      <t>ETA:</t>
    </r>
    <r>
      <rPr>
        <sz val="10"/>
        <rFont val="Arial"/>
        <family val="0"/>
      </rPr>
      <t xml:space="preserve">  The spreadsheet calculates an Estimated Time of Arrival at your destination based on the </t>
    </r>
    <r>
      <rPr>
        <b/>
        <i/>
        <u val="single"/>
        <sz val="10"/>
        <rFont val="Arial"/>
        <family val="2"/>
      </rPr>
      <t xml:space="preserve">Dist to Dest </t>
    </r>
    <r>
      <rPr>
        <sz val="10"/>
        <rFont val="Arial"/>
        <family val="0"/>
      </rPr>
      <t>value and speed reported in this log record.  This ETA is earliest you should expect to arrive assuming you can head directly toward your destination and maintain the current boat speed.</t>
    </r>
  </si>
  <si>
    <t>ETA</t>
  </si>
  <si>
    <t>This is an Excel Template to generate a blank log record that can be used to record navigational information on a voyage.  This template was developed by John Stevenson for his own use and is provided to others with no representation as to whether it is suitable or reliable for navigation purposes or any other use.  Anyone using this template does at their own risk.</t>
  </si>
  <si>
    <r>
      <t>Log:</t>
    </r>
    <r>
      <rPr>
        <sz val="10"/>
        <rFont val="Arial"/>
        <family val="0"/>
      </rPr>
      <t xml:space="preserve"> The cummulative mileage at the time of the log entry.  This normally is the log value from the knotmeter or GPS, but it also could be an estimate based on the vessel's speed and the period of time covered by the log entry (I.e., the time since the previous entry).</t>
    </r>
  </si>
  <si>
    <t>AVERAGE</t>
  </si>
  <si>
    <t>Calculated Values</t>
  </si>
  <si>
    <t>24 Hour</t>
  </si>
  <si>
    <t>DATE</t>
  </si>
  <si>
    <t>TIME</t>
  </si>
  <si>
    <t>LATITUDE</t>
  </si>
  <si>
    <t>LONGITUDE</t>
  </si>
  <si>
    <t>LOG</t>
  </si>
  <si>
    <t>COURSE</t>
  </si>
  <si>
    <t>SPEED</t>
  </si>
  <si>
    <t>APP WD</t>
  </si>
  <si>
    <t>APP WS</t>
  </si>
  <si>
    <t>Comments</t>
  </si>
  <si>
    <t>Course</t>
  </si>
  <si>
    <t>Distance</t>
  </si>
  <si>
    <t>Log</t>
  </si>
  <si>
    <t>Time</t>
  </si>
  <si>
    <t>Speed</t>
  </si>
  <si>
    <t>Run</t>
  </si>
  <si>
    <t>To use this form, first save this workbook as a template on your PC.  Then when you wish to generate a blank form within Excel, select File/New from the Excel menu bar.  This will generate a dialog box or frame (depending on the version of Excel) which allows you to select the Ships Log as the template for a workbook.  Select the Ships Log template and a workbook with a blank log will be generated.  Save this workbook as your log and you can begin to record navigational information.</t>
  </si>
  <si>
    <t>Each log record is entered on a single line in the unprotected area of the log worksheet.  The protected area is highlighted in yellow, and contains calculated values derived from the log records entered.</t>
  </si>
  <si>
    <t>The Log worksheet allows you to record a number of pieces of information on the progress of the vessel and the conditions encountered.  The interval between records can be whatever is appropriate for the crew, ship and voyage.  Always enter the fist log record in the first blank row below the column header.  Also enter each subsequent log record on the row immediately below the previous entry.  Do not skip a row as it will throw off the calculations performed on the worksheet.</t>
  </si>
  <si>
    <t>The Log worksheet provides colums to record the following information</t>
  </si>
  <si>
    <t>Maximum</t>
  </si>
  <si>
    <t>Minimum</t>
  </si>
  <si>
    <t>Average</t>
  </si>
  <si>
    <t>DESTINATION</t>
  </si>
  <si>
    <t>DEPARTURE</t>
  </si>
  <si>
    <t>NAME</t>
  </si>
  <si>
    <t>Latitude</t>
  </si>
  <si>
    <t>Longitude</t>
  </si>
  <si>
    <t>Date</t>
  </si>
  <si>
    <t>Made Good</t>
  </si>
  <si>
    <t>DMG</t>
  </si>
  <si>
    <t>Ratio</t>
  </si>
  <si>
    <t>Dist</t>
  </si>
  <si>
    <t>There are two types of log entries that can be made - DR or Fix.  The type is determined by whether or not you enter a latitude and longitude into the log record.  If the position is entered, the log assumes this is a fixed position and calculates the course, speed and distance traveled from the last positioin entered.  If no position coordinates are entered, log assumes you are entering a DR record and will calculate the DR coordinates from the course and log entry values based on the previous log position report (DR or Fix).</t>
  </si>
  <si>
    <t>The two types of records and be intermingled on the log.  If you have a working GPS, most likely you will be entering Fix log records.  Without a GPS you will likely be entering DR records until you are able to fix your position via a celestial sight or another ship.</t>
  </si>
  <si>
    <t>Current Time:</t>
  </si>
  <si>
    <t>UTC Correction:</t>
  </si>
  <si>
    <t>hours</t>
  </si>
  <si>
    <t>Lat:</t>
  </si>
  <si>
    <t>Lon:</t>
  </si>
  <si>
    <t>Estimated Position</t>
  </si>
  <si>
    <r>
      <t xml:space="preserve">Estimated Position:  </t>
    </r>
    <r>
      <rPr>
        <sz val="10"/>
        <rFont val="Arial"/>
        <family val="2"/>
      </rPr>
      <t xml:space="preserve">These cells display the calculated latitude and longitude at the time displayed in the </t>
    </r>
    <r>
      <rPr>
        <b/>
        <i/>
        <u val="single"/>
        <sz val="10"/>
        <rFont val="Arial"/>
        <family val="2"/>
      </rPr>
      <t>Current Time</t>
    </r>
    <r>
      <rPr>
        <sz val="10"/>
        <rFont val="Arial"/>
        <family val="2"/>
      </rPr>
      <t xml:space="preserve"> cell.  These values are an extrapolation from the position, course and speed of the last long entry.  The spreadsheet continuously updates these cells until a date of arrival is entered in the </t>
    </r>
    <r>
      <rPr>
        <b/>
        <i/>
        <u val="single"/>
        <sz val="10"/>
        <rFont val="Arial"/>
        <family val="2"/>
      </rPr>
      <t>Destination</t>
    </r>
    <r>
      <rPr>
        <sz val="10"/>
        <rFont val="Arial"/>
        <family val="2"/>
      </rPr>
      <t xml:space="preserve"> entry.</t>
    </r>
  </si>
  <si>
    <r>
      <t xml:space="preserve">At the top of the log sheet you can enter your </t>
    </r>
    <r>
      <rPr>
        <b/>
        <i/>
        <u val="single"/>
        <sz val="10"/>
        <rFont val="Arial"/>
        <family val="2"/>
      </rPr>
      <t>Departure</t>
    </r>
    <r>
      <rPr>
        <sz val="10"/>
        <rFont val="Arial"/>
        <family val="0"/>
      </rPr>
      <t xml:space="preserve"> and </t>
    </r>
    <r>
      <rPr>
        <b/>
        <i/>
        <u val="single"/>
        <sz val="10"/>
        <rFont val="Arial"/>
        <family val="2"/>
      </rPr>
      <t>Destination</t>
    </r>
    <r>
      <rPr>
        <sz val="10"/>
        <rFont val="Arial"/>
        <family val="0"/>
      </rPr>
      <t xml:space="preserve"> coordinates and time.  The log uses the destination coordinates to calculate the distance to the destination and your Estimated Time of Arrival (ETS).  More explanation on these calculated values is provided below.</t>
    </r>
  </si>
  <si>
    <t>To Destination</t>
  </si>
  <si>
    <r>
      <t>To Destination:</t>
    </r>
    <r>
      <rPr>
        <sz val="10"/>
        <rFont val="Arial"/>
        <family val="2"/>
      </rPr>
      <t xml:space="preserve"> </t>
    </r>
  </si>
  <si>
    <r>
      <t>Course:</t>
    </r>
    <r>
      <rPr>
        <sz val="10"/>
        <rFont val="Arial"/>
        <family val="2"/>
      </rPr>
      <t xml:space="preserve"> The spreadsheet calculates the true course from the position in this log entry to your destination</t>
    </r>
  </si>
  <si>
    <r>
      <t>Dist</t>
    </r>
    <r>
      <rPr>
        <sz val="10"/>
        <rFont val="Arial"/>
        <family val="0"/>
      </rPr>
      <t>:  The spreadsheet calculates the distance from the position in this log entry to your destination.</t>
    </r>
  </si>
  <si>
    <r>
      <t xml:space="preserve">Course:  </t>
    </r>
    <r>
      <rPr>
        <sz val="10"/>
        <rFont val="Arial"/>
        <family val="0"/>
      </rPr>
      <t xml:space="preserve">If you do not enter a course in the unprotected area of the log record, the spreadsheet calculates a </t>
    </r>
    <r>
      <rPr>
        <i/>
        <u val="single"/>
        <sz val="10"/>
        <rFont val="Arial"/>
        <family val="2"/>
      </rPr>
      <t>true</t>
    </r>
    <r>
      <rPr>
        <sz val="10"/>
        <rFont val="Arial"/>
        <family val="0"/>
      </rPr>
      <t xml:space="preserve"> course using the coordinates of this and the previous log record.</t>
    </r>
  </si>
  <si>
    <r>
      <t xml:space="preserve">Course:  </t>
    </r>
    <r>
      <rPr>
        <sz val="10"/>
        <rFont val="Arial"/>
        <family val="0"/>
      </rPr>
      <t xml:space="preserve">This is the estimated average </t>
    </r>
    <r>
      <rPr>
        <i/>
        <u val="single"/>
        <sz val="10"/>
        <rFont val="Arial"/>
        <family val="2"/>
      </rPr>
      <t>true</t>
    </r>
    <r>
      <rPr>
        <sz val="10"/>
        <rFont val="Arial"/>
        <family val="0"/>
      </rPr>
      <t xml:space="preserve"> course steered during the interval of the log entry.  </t>
    </r>
    <r>
      <rPr>
        <b/>
        <sz val="12"/>
        <rFont val="Arial"/>
        <family val="2"/>
      </rPr>
      <t xml:space="preserve">Note, the spreadsheet assumes all course headings entered are true not magnetic or compass.  </t>
    </r>
  </si>
  <si>
    <t>This workbook contains three work sheets.  The first sheet is this overview and explanation.  The second sheet is the log form into which you can enter ship's position information.  The third sheet is a chart of the positions entered into (or calculated by) the log form.  This chart is merely an X-Y plot of the latitude and longitude coordinates and does not conform to any conventional map projection.  Therefore it is not an acurate depiction of the relative positions of the entries nor of the direction and distance traveled between entries.  The only value of this chart is to provide a rough graphical depiction of progress toward the destination.</t>
  </si>
  <si>
    <r>
      <t>Latitude/Longitude:</t>
    </r>
    <r>
      <rPr>
        <sz val="10"/>
        <rFont val="Arial"/>
        <family val="0"/>
      </rPr>
      <t xml:space="preserve"> Ship's position at the time of the log entry.  This can be an estimated position based on Dead Reckoning or a fixed position based on a navigational instrument (e.g., GPS).  Coordinates are entered in the format ddd.mmd, where ddd = degrees of latitude or longitude, mm = minutes and d = tenths of minute.  </t>
    </r>
    <r>
      <rPr>
        <b/>
        <i/>
        <u val="single"/>
        <sz val="12"/>
        <rFont val="Arial"/>
        <family val="2"/>
      </rPr>
      <t>North latitude and East longitude are entered as positive values.  South latitude and West longitude are entered as negative values</t>
    </r>
    <r>
      <rPr>
        <sz val="10"/>
        <rFont val="Arial"/>
        <family val="0"/>
      </rPr>
      <t>.</t>
    </r>
  </si>
  <si>
    <t>For example:  44 deg 34' 12" N latitude would be entered as 44.342.  125 deg 18.3' W longitude would be entered as -125.183.</t>
  </si>
  <si>
    <t>Chart Plot</t>
  </si>
  <si>
    <t>Lat</t>
  </si>
  <si>
    <t>long</t>
  </si>
  <si>
    <r>
      <t>Date/time:</t>
    </r>
    <r>
      <rPr>
        <u val="single"/>
        <sz val="10"/>
        <rFont val="Arial"/>
        <family val="2"/>
      </rPr>
      <t xml:space="preserve"> </t>
    </r>
    <r>
      <rPr>
        <sz val="10"/>
        <rFont val="Arial"/>
        <family val="0"/>
      </rPr>
      <t xml:space="preserve">Date and time of the log entry.  The date and time go in separate cells.  Be sure to enter the time in 24 hour format. </t>
    </r>
    <r>
      <rPr>
        <b/>
        <sz val="10"/>
        <rFont val="Arial"/>
        <family val="2"/>
      </rPr>
      <t xml:space="preserve">NOTE: The time is entered in the format hhmm, where hh = hours and mm = minutes.  </t>
    </r>
    <r>
      <rPr>
        <sz val="10"/>
        <rFont val="Arial"/>
        <family val="2"/>
      </rPr>
      <t xml:space="preserve">The date is entered in standard Excel format (mm/dd/yyyy). </t>
    </r>
  </si>
  <si>
    <t>Version</t>
  </si>
  <si>
    <t>Description of changes</t>
  </si>
  <si>
    <t>Added functions to calculate emphemeris of the SUN.  Added Sun sight reduction worksheet with emphemeris functions.  Added Day Almanac worksheet that can be used to produce hourly values for the GHA and DEC of the Sun for a given date.</t>
  </si>
  <si>
    <t>Added functions to calculate emphemeris data for the planets Venus and Mars.  Added planet sight reduction worksheet with emphemeris functions for Venus and Mars.  Added columns for GHA and DEC of Venu and Mars to the Day Almanac worksheet.</t>
  </si>
  <si>
    <t>Corrected error in interpolation of GHA for Sun, Planet and Star sight reduction worksheets.  The calculation did not correct interpolate when GHA passed through 360 degrees.</t>
  </si>
  <si>
    <t>Start</t>
  </si>
  <si>
    <t>Stop</t>
  </si>
  <si>
    <t>Initial Reserve:</t>
  </si>
  <si>
    <t>Guage</t>
  </si>
  <si>
    <t>Hours</t>
  </si>
  <si>
    <t>Motor</t>
  </si>
  <si>
    <t>Est Fuel</t>
  </si>
  <si>
    <t>Reserve</t>
  </si>
  <si>
    <t>Reading</t>
  </si>
  <si>
    <t>Eng</t>
  </si>
  <si>
    <t>Gen</t>
  </si>
  <si>
    <t>Gal/Hr</t>
  </si>
  <si>
    <t>Ship's Log Template Version 7.8</t>
  </si>
  <si>
    <t>Total Fuel Consumed:</t>
  </si>
  <si>
    <t>Total Engine Hours:</t>
  </si>
  <si>
    <t>Total Gen Hours:</t>
  </si>
  <si>
    <t>Total Motor Hours:</t>
  </si>
  <si>
    <t>Tank</t>
  </si>
  <si>
    <t>Cap</t>
  </si>
  <si>
    <t>Nr</t>
  </si>
  <si>
    <t>Total</t>
  </si>
  <si>
    <t>Main</t>
  </si>
  <si>
    <t>Deck</t>
  </si>
  <si>
    <t>S Twilight</t>
  </si>
  <si>
    <t>Sunrise</t>
  </si>
  <si>
    <t>Sunset</t>
  </si>
  <si>
    <t>E Twilight</t>
  </si>
  <si>
    <t>Capacity</t>
  </si>
  <si>
    <t>Est Guage</t>
  </si>
  <si>
    <t>Act Guage</t>
  </si>
  <si>
    <t>Added fuel management page</t>
  </si>
  <si>
    <t>Bermuda</t>
  </si>
  <si>
    <t>Chesapeake</t>
  </si>
  <si>
    <t>Cleared NE Breakers</t>
  </si>
  <si>
    <t>eng</t>
  </si>
  <si>
    <t>20p</t>
  </si>
  <si>
    <t>Frig on</t>
  </si>
  <si>
    <t>30p</t>
  </si>
  <si>
    <t>5p</t>
  </si>
  <si>
    <t>eng off</t>
  </si>
  <si>
    <t>eng on, frig on</t>
  </si>
  <si>
    <t>chg course to west</t>
  </si>
  <si>
    <t>Starting to pull out of current.  Tank = 5/8</t>
  </si>
  <si>
    <t>50p</t>
  </si>
  <si>
    <t>Xfer 30 gal from deck to tank =  15/16</t>
  </si>
  <si>
    <t>Xfer 30 gal from deck to tank</t>
  </si>
  <si>
    <t>40p</t>
  </si>
  <si>
    <t>20P</t>
  </si>
  <si>
    <t>ENG ON</t>
  </si>
  <si>
    <t>40P</t>
  </si>
  <si>
    <t>ENG OFF, on @ 0355</t>
  </si>
  <si>
    <t>60s</t>
  </si>
  <si>
    <t>end off</t>
  </si>
  <si>
    <t>30s</t>
  </si>
  <si>
    <t>eng on</t>
  </si>
  <si>
    <t>xfer 16 gal to tank @ 2030</t>
  </si>
  <si>
    <t>xfer 16 gal from deck to tank</t>
  </si>
  <si>
    <t>90s</t>
  </si>
  <si>
    <t>Remain</t>
  </si>
  <si>
    <t>RPM</t>
  </si>
  <si>
    <t>Engine RPM Consumption Table</t>
  </si>
  <si>
    <t>Rate Chg</t>
  </si>
  <si>
    <t>Spd</t>
  </si>
  <si>
    <t>Spd Chg</t>
  </si>
  <si>
    <t>gen on</t>
  </si>
  <si>
    <t>gen</t>
  </si>
  <si>
    <t>gen off</t>
  </si>
  <si>
    <t>140s</t>
  </si>
  <si>
    <t>end on, frig on</t>
  </si>
  <si>
    <t>Eng off, on @ 0612</t>
  </si>
  <si>
    <t>40s</t>
  </si>
  <si>
    <t>Eng off</t>
  </si>
  <si>
    <t>Eng on</t>
  </si>
  <si>
    <t>Tank = 19/32</t>
  </si>
  <si>
    <t>Cape Henry abeam</t>
  </si>
  <si>
    <t>Enter Chesapeake Bay</t>
  </si>
  <si>
    <t>Enter the Chesapeake Bay, voyage complete</t>
  </si>
  <si>
    <t>Add 30 gal to tank at Little Creek</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</si>
</sst>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00000"/>
    <numFmt numFmtId="168" formatCode="0.0000000"/>
    <numFmt numFmtId="169" formatCode="0.00000000"/>
    <numFmt numFmtId="170" formatCode="0.000000000"/>
    <numFmt numFmtId="171" formatCode="0.0000000000"/>
    <numFmt numFmtId="172" formatCode="0.00000000000"/>
    <numFmt numFmtId="173" formatCode="0.000000000000"/>
    <numFmt numFmtId="174" formatCode="0.0000000000000"/>
    <numFmt numFmtId="175" formatCode="0.00000000000000"/>
    <numFmt numFmtId="176" formatCode="0.000000000000000"/>
    <numFmt numFmtId="177" formatCode="0.0000000000000000"/>
    <numFmt numFmtId="178" formatCode="0.00000000000000000"/>
    <numFmt numFmtId="179" formatCode="0.000000000000000000"/>
    <numFmt numFmtId="180" formatCode="0.0000000000000000000"/>
    <numFmt numFmtId="181" formatCode="0.00000000000000000000"/>
    <numFmt numFmtId="182" formatCode="0.000000000000000000000"/>
    <numFmt numFmtId="183" formatCode="0.0000000000000000000000"/>
    <numFmt numFmtId="184" formatCode="dd\-mmm\-yy"/>
    <numFmt numFmtId="185" formatCode="0.00000000000E+00"/>
    <numFmt numFmtId="186" formatCode="###0.000"/>
    <numFmt numFmtId="187" formatCode="0000.000"/>
    <numFmt numFmtId="188" formatCode="0.0"/>
    <numFmt numFmtId="189" formatCode="0.000000000000000000000000000"/>
    <numFmt numFmtId="190" formatCode="&quot;Yes&quot;;&quot;Yes&quot;;&quot;No&quot;"/>
    <numFmt numFmtId="191" formatCode="&quot;True&quot;;&quot;True&quot;;&quot;False&quot;"/>
    <numFmt numFmtId="192" formatCode="&quot;On&quot;;&quot;On&quot;;&quot;Off&quot;"/>
    <numFmt numFmtId="193" formatCode="00"/>
    <numFmt numFmtId="194" formatCode="##0"/>
    <numFmt numFmtId="195" formatCode="000"/>
    <numFmt numFmtId="196" formatCode="[$€-2]\ #,##0.00_);[Red]\([$€-2]\ #,##0.00\)"/>
    <numFmt numFmtId="197" formatCode="[$-409]dddd\,\ mmmm\ dd\,\ yyyy"/>
    <numFmt numFmtId="198" formatCode="[$-409]h:mm:ss\ AM/PM"/>
    <numFmt numFmtId="199" formatCode="m/d/yy\ h:mm;@"/>
    <numFmt numFmtId="200" formatCode="m/d/yy;@"/>
    <numFmt numFmtId="201" formatCode="[$-409]m/d/yy\ h:mm\ AM/PM;@"/>
    <numFmt numFmtId="202" formatCode="0.000000000000000000000000"/>
    <numFmt numFmtId="203" formatCode="[$-409]d\-mmm\-yy;@"/>
    <numFmt numFmtId="204" formatCode="0000"/>
    <numFmt numFmtId="205" formatCode="h:mm;@"/>
    <numFmt numFmtId="206" formatCode="#\ ??/16"/>
  </numFmts>
  <fonts count="16">
    <font>
      <sz val="10"/>
      <name val="Arial"/>
      <family val="0"/>
    </font>
    <font>
      <u val="single"/>
      <sz val="10"/>
      <color indexed="36"/>
      <name val="Arial"/>
      <family val="0"/>
    </font>
    <font>
      <u val="single"/>
      <sz val="10"/>
      <color indexed="12"/>
      <name val="Arial"/>
      <family val="0"/>
    </font>
    <font>
      <b/>
      <sz val="12"/>
      <name val="Arial"/>
      <family val="2"/>
    </font>
    <font>
      <sz val="12"/>
      <name val="Arial"/>
      <family val="2"/>
    </font>
    <font>
      <b/>
      <sz val="26"/>
      <name val="Arial"/>
      <family val="2"/>
    </font>
    <font>
      <b/>
      <i/>
      <u val="single"/>
      <sz val="10"/>
      <name val="Arial"/>
      <family val="2"/>
    </font>
    <font>
      <u val="single"/>
      <sz val="10"/>
      <name val="Arial"/>
      <family val="2"/>
    </font>
    <font>
      <b/>
      <u val="single"/>
      <sz val="14"/>
      <name val="Arial"/>
      <family val="2"/>
    </font>
    <font>
      <i/>
      <u val="single"/>
      <sz val="10"/>
      <name val="Arial"/>
      <family val="2"/>
    </font>
    <font>
      <sz val="8"/>
      <name val="Arial"/>
      <family val="0"/>
    </font>
    <font>
      <sz val="18.5"/>
      <name val="Arial"/>
      <family val="0"/>
    </font>
    <font>
      <b/>
      <i/>
      <u val="single"/>
      <sz val="12"/>
      <name val="Arial"/>
      <family val="2"/>
    </font>
    <font>
      <b/>
      <sz val="18.5"/>
      <name val="Arial"/>
      <family val="0"/>
    </font>
    <font>
      <b/>
      <sz val="10"/>
      <name val="Arial"/>
      <family val="2"/>
    </font>
    <font>
      <sz val="14"/>
      <name val="Arial"/>
      <family val="2"/>
    </font>
  </fonts>
  <fills count="3">
    <fill>
      <patternFill/>
    </fill>
    <fill>
      <patternFill patternType="gray125"/>
    </fill>
    <fill>
      <patternFill patternType="solid">
        <fgColor indexed="13"/>
        <bgColor indexed="64"/>
      </patternFill>
    </fill>
  </fills>
  <borders count="19">
    <border>
      <left/>
      <right/>
      <top/>
      <bottom/>
      <diagonal/>
    </border>
    <border>
      <left style="thick"/>
      <right style="thick"/>
      <top>
        <color indexed="63"/>
      </top>
      <bottom style="thin"/>
    </border>
    <border>
      <left style="thick"/>
      <right style="thick"/>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ck"/>
      <right style="thick"/>
      <top>
        <color indexed="63"/>
      </top>
      <bottom style="double"/>
    </border>
    <border>
      <left style="thick"/>
      <right style="thick"/>
      <top>
        <color indexed="63"/>
      </top>
      <bottom style="medium"/>
    </border>
    <border>
      <left>
        <color indexed="63"/>
      </left>
      <right>
        <color indexed="63"/>
      </right>
      <top>
        <color indexed="63"/>
      </top>
      <bottom style="medium"/>
    </border>
    <border>
      <left style="thick"/>
      <right>
        <color indexed="63"/>
      </right>
      <top>
        <color indexed="63"/>
      </top>
      <bottom>
        <color indexed="63"/>
      </bottom>
    </border>
    <border>
      <left style="thick"/>
      <right style="thick"/>
      <top style="double"/>
      <bottom>
        <color indexed="63"/>
      </bottom>
    </border>
    <border>
      <left style="thick"/>
      <right style="thick"/>
      <top>
        <color indexed="63"/>
      </top>
      <bottom>
        <color indexed="63"/>
      </bottom>
    </border>
    <border>
      <left style="thick"/>
      <right style="thick"/>
      <top style="double"/>
      <bottom style="thin"/>
    </border>
    <border>
      <left style="thin"/>
      <right style="thin"/>
      <top style="thin"/>
      <bottom style="thin"/>
    </border>
    <border>
      <left>
        <color indexed="63"/>
      </left>
      <right style="thin"/>
      <top>
        <color indexed="63"/>
      </top>
      <bottom>
        <color indexed="63"/>
      </bottom>
    </border>
    <border>
      <left>
        <color indexed="63"/>
      </left>
      <right style="thick"/>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14" fontId="4" fillId="0" borderId="1" xfId="0" applyNumberFormat="1" applyFont="1" applyBorder="1" applyAlignment="1" applyProtection="1">
      <alignment/>
      <protection locked="0"/>
    </xf>
    <xf numFmtId="164" fontId="4" fillId="0" borderId="1" xfId="0" applyNumberFormat="1" applyFont="1" applyBorder="1" applyAlignment="1" applyProtection="1">
      <alignment/>
      <protection locked="0"/>
    </xf>
    <xf numFmtId="0" fontId="4" fillId="0" borderId="1" xfId="0" applyFont="1" applyBorder="1" applyAlignment="1" applyProtection="1">
      <alignment/>
      <protection locked="0"/>
    </xf>
    <xf numFmtId="164" fontId="4" fillId="0" borderId="2" xfId="0" applyNumberFormat="1" applyFont="1" applyBorder="1" applyAlignment="1" applyProtection="1">
      <alignment/>
      <protection locked="0"/>
    </xf>
    <xf numFmtId="0" fontId="4" fillId="0" borderId="2" xfId="0" applyFont="1" applyBorder="1" applyAlignment="1" applyProtection="1">
      <alignment/>
      <protection locked="0"/>
    </xf>
    <xf numFmtId="14" fontId="4" fillId="0" borderId="2" xfId="0" applyNumberFormat="1" applyFont="1" applyBorder="1" applyAlignment="1" applyProtection="1">
      <alignment/>
      <protection locked="0"/>
    </xf>
    <xf numFmtId="0" fontId="5" fillId="0" borderId="0" xfId="0" applyFont="1" applyAlignment="1">
      <alignment/>
    </xf>
    <xf numFmtId="0" fontId="0" fillId="0" borderId="0" xfId="0" applyAlignment="1">
      <alignment wrapText="1"/>
    </xf>
    <xf numFmtId="195" fontId="4" fillId="0" borderId="1" xfId="0" applyNumberFormat="1" applyFont="1" applyBorder="1" applyAlignment="1" applyProtection="1">
      <alignment/>
      <protection locked="0"/>
    </xf>
    <xf numFmtId="195" fontId="4" fillId="0" borderId="2" xfId="0" applyNumberFormat="1" applyFont="1" applyBorder="1" applyAlignment="1" applyProtection="1">
      <alignment/>
      <protection locked="0"/>
    </xf>
    <xf numFmtId="188" fontId="4" fillId="0" borderId="1" xfId="0" applyNumberFormat="1" applyFont="1" applyBorder="1" applyAlignment="1" applyProtection="1">
      <alignment/>
      <protection locked="0"/>
    </xf>
    <xf numFmtId="188" fontId="4" fillId="0" borderId="2" xfId="0" applyNumberFormat="1" applyFont="1" applyBorder="1" applyAlignment="1" applyProtection="1">
      <alignment/>
      <protection locked="0"/>
    </xf>
    <xf numFmtId="0" fontId="4" fillId="0" borderId="0" xfId="0" applyFont="1" applyAlignment="1" applyProtection="1">
      <alignment/>
      <protection/>
    </xf>
    <xf numFmtId="2" fontId="4" fillId="0" borderId="0" xfId="0" applyNumberFormat="1" applyFont="1" applyAlignment="1" applyProtection="1">
      <alignment/>
      <protection/>
    </xf>
    <xf numFmtId="188" fontId="4" fillId="0" borderId="0" xfId="0" applyNumberFormat="1" applyFont="1" applyAlignment="1" applyProtection="1">
      <alignment/>
      <protection/>
    </xf>
    <xf numFmtId="2" fontId="3" fillId="0" borderId="0" xfId="0" applyNumberFormat="1" applyFont="1" applyAlignment="1" applyProtection="1">
      <alignment/>
      <protection/>
    </xf>
    <xf numFmtId="188" fontId="3" fillId="0" borderId="0" xfId="0" applyNumberFormat="1" applyFont="1" applyAlignment="1" applyProtection="1">
      <alignment/>
      <protection/>
    </xf>
    <xf numFmtId="0" fontId="3" fillId="0" borderId="0" xfId="0" applyFont="1" applyAlignment="1" applyProtection="1">
      <alignment/>
      <protection/>
    </xf>
    <xf numFmtId="2" fontId="4" fillId="2" borderId="0" xfId="0" applyNumberFormat="1" applyFont="1" applyFill="1" applyAlignment="1" applyProtection="1">
      <alignment/>
      <protection/>
    </xf>
    <xf numFmtId="188" fontId="4" fillId="2" borderId="0" xfId="0" applyNumberFormat="1" applyFont="1" applyFill="1" applyAlignment="1" applyProtection="1">
      <alignment/>
      <protection/>
    </xf>
    <xf numFmtId="2" fontId="3" fillId="0" borderId="3" xfId="0" applyNumberFormat="1" applyFont="1" applyBorder="1" applyAlignment="1" applyProtection="1">
      <alignment/>
      <protection/>
    </xf>
    <xf numFmtId="0" fontId="3" fillId="0" borderId="4" xfId="0" applyFont="1" applyBorder="1" applyAlignment="1" applyProtection="1">
      <alignment/>
      <protection/>
    </xf>
    <xf numFmtId="2" fontId="3" fillId="0" borderId="5" xfId="0" applyNumberFormat="1" applyFont="1" applyBorder="1" applyAlignment="1" applyProtection="1">
      <alignment/>
      <protection/>
    </xf>
    <xf numFmtId="0" fontId="3" fillId="0" borderId="6" xfId="0" applyFont="1" applyBorder="1" applyAlignment="1" applyProtection="1">
      <alignment/>
      <protection/>
    </xf>
    <xf numFmtId="2" fontId="3" fillId="0" borderId="7" xfId="0" applyNumberFormat="1" applyFont="1" applyBorder="1" applyAlignment="1" applyProtection="1">
      <alignment/>
      <protection/>
    </xf>
    <xf numFmtId="0" fontId="3" fillId="0" borderId="8" xfId="0" applyFont="1" applyBorder="1" applyAlignment="1" applyProtection="1">
      <alignment/>
      <protection/>
    </xf>
    <xf numFmtId="0" fontId="4" fillId="2" borderId="0" xfId="0" applyFont="1" applyFill="1" applyAlignment="1" applyProtection="1">
      <alignment/>
      <protection/>
    </xf>
    <xf numFmtId="1" fontId="4" fillId="0" borderId="0" xfId="0" applyNumberFormat="1" applyFont="1" applyAlignment="1" applyProtection="1">
      <alignment/>
      <protection/>
    </xf>
    <xf numFmtId="1" fontId="3" fillId="0" borderId="0" xfId="0" applyNumberFormat="1" applyFont="1" applyAlignment="1" applyProtection="1">
      <alignment/>
      <protection/>
    </xf>
    <xf numFmtId="0" fontId="4" fillId="0" borderId="0" xfId="0" applyFont="1" applyBorder="1" applyAlignment="1" applyProtection="1">
      <alignment/>
      <protection locked="0"/>
    </xf>
    <xf numFmtId="16" fontId="4" fillId="0" borderId="0" xfId="0" applyNumberFormat="1" applyFont="1" applyAlignment="1" applyProtection="1">
      <alignment/>
      <protection locked="0"/>
    </xf>
    <xf numFmtId="1" fontId="4" fillId="0" borderId="0" xfId="0" applyNumberFormat="1" applyFont="1" applyAlignment="1" applyProtection="1">
      <alignment/>
      <protection locked="0"/>
    </xf>
    <xf numFmtId="0" fontId="3" fillId="0" borderId="0" xfId="0" applyFont="1" applyAlignment="1" applyProtection="1">
      <alignment horizontal="right"/>
      <protection/>
    </xf>
    <xf numFmtId="0" fontId="3" fillId="0" borderId="0" xfId="0" applyFont="1" applyAlignment="1" applyProtection="1">
      <alignment/>
      <protection/>
    </xf>
    <xf numFmtId="164" fontId="4" fillId="2" borderId="0" xfId="0" applyNumberFormat="1" applyFont="1" applyFill="1" applyAlignment="1" applyProtection="1">
      <alignment/>
      <protection/>
    </xf>
    <xf numFmtId="0" fontId="0" fillId="0" borderId="0" xfId="0" applyFont="1" applyAlignment="1">
      <alignment wrapText="1"/>
    </xf>
    <xf numFmtId="0" fontId="6" fillId="0" borderId="0" xfId="0" applyFont="1" applyAlignment="1">
      <alignment wrapText="1"/>
    </xf>
    <xf numFmtId="0" fontId="3" fillId="0" borderId="9" xfId="0" applyFont="1" applyBorder="1" applyAlignment="1" applyProtection="1">
      <alignment/>
      <protection/>
    </xf>
    <xf numFmtId="0" fontId="3" fillId="0" borderId="10" xfId="0" applyFont="1" applyBorder="1" applyAlignment="1" applyProtection="1">
      <alignment/>
      <protection/>
    </xf>
    <xf numFmtId="188" fontId="3" fillId="0" borderId="11" xfId="0" applyNumberFormat="1" applyFont="1" applyBorder="1" applyAlignment="1" applyProtection="1">
      <alignment/>
      <protection/>
    </xf>
    <xf numFmtId="199" fontId="4" fillId="0" borderId="0" xfId="0" applyNumberFormat="1" applyFont="1" applyAlignment="1" applyProtection="1">
      <alignment/>
      <protection/>
    </xf>
    <xf numFmtId="195" fontId="4" fillId="0" borderId="0" xfId="0" applyNumberFormat="1" applyFont="1" applyAlignment="1" applyProtection="1">
      <alignment/>
      <protection/>
    </xf>
    <xf numFmtId="1" fontId="3" fillId="0" borderId="0" xfId="0" applyNumberFormat="1" applyFont="1" applyAlignment="1" applyProtection="1">
      <alignment horizontal="center"/>
      <protection/>
    </xf>
    <xf numFmtId="0" fontId="3" fillId="0" borderId="12" xfId="0" applyFont="1" applyBorder="1" applyAlignment="1" applyProtection="1">
      <alignment/>
      <protection/>
    </xf>
    <xf numFmtId="188" fontId="3" fillId="0" borderId="9" xfId="0" applyNumberFormat="1" applyFont="1" applyBorder="1" applyAlignment="1" applyProtection="1">
      <alignment/>
      <protection/>
    </xf>
    <xf numFmtId="195" fontId="3" fillId="0" borderId="9" xfId="0" applyNumberFormat="1" applyFont="1" applyBorder="1" applyAlignment="1" applyProtection="1">
      <alignment/>
      <protection/>
    </xf>
    <xf numFmtId="199" fontId="3" fillId="0" borderId="0" xfId="0" applyNumberFormat="1" applyFont="1" applyAlignment="1" applyProtection="1">
      <alignment/>
      <protection/>
    </xf>
    <xf numFmtId="1" fontId="4" fillId="2" borderId="0" xfId="0" applyNumberFormat="1" applyFont="1" applyFill="1" applyAlignment="1" applyProtection="1">
      <alignment/>
      <protection/>
    </xf>
    <xf numFmtId="199" fontId="4" fillId="2" borderId="0" xfId="0" applyNumberFormat="1" applyFont="1" applyFill="1" applyAlignment="1" applyProtection="1">
      <alignment/>
      <protection/>
    </xf>
    <xf numFmtId="188" fontId="4" fillId="0" borderId="0" xfId="0" applyNumberFormat="1" applyFont="1" applyAlignment="1" applyProtection="1">
      <alignment/>
      <protection locked="0"/>
    </xf>
    <xf numFmtId="0" fontId="4" fillId="0" borderId="0" xfId="0" applyFont="1" applyAlignment="1" applyProtection="1">
      <alignment horizontal="left" wrapText="1"/>
      <protection/>
    </xf>
    <xf numFmtId="0" fontId="3" fillId="0" borderId="0" xfId="0" applyFont="1" applyAlignment="1" applyProtection="1">
      <alignment horizontal="right" wrapText="1"/>
      <protection/>
    </xf>
    <xf numFmtId="0" fontId="3" fillId="0" borderId="9" xfId="0" applyFont="1" applyBorder="1" applyAlignment="1" applyProtection="1">
      <alignment horizontal="left" wrapText="1"/>
      <protection/>
    </xf>
    <xf numFmtId="0" fontId="8" fillId="0" borderId="0" xfId="0" applyFont="1" applyAlignment="1">
      <alignment wrapText="1"/>
    </xf>
    <xf numFmtId="14" fontId="4" fillId="2" borderId="1" xfId="0" applyNumberFormat="1" applyFont="1" applyFill="1" applyBorder="1" applyAlignment="1" applyProtection="1">
      <alignment/>
      <protection/>
    </xf>
    <xf numFmtId="164" fontId="4" fillId="2" borderId="1" xfId="0" applyNumberFormat="1" applyFont="1" applyFill="1" applyBorder="1" applyAlignment="1" applyProtection="1">
      <alignment/>
      <protection/>
    </xf>
    <xf numFmtId="188" fontId="4" fillId="2" borderId="1" xfId="0" applyNumberFormat="1" applyFont="1" applyFill="1" applyBorder="1" applyAlignment="1" applyProtection="1">
      <alignment/>
      <protection/>
    </xf>
    <xf numFmtId="0" fontId="0" fillId="0" borderId="13" xfId="0" applyFont="1" applyFill="1" applyBorder="1" applyAlignment="1" applyProtection="1">
      <alignment horizontal="left" wrapText="1"/>
      <protection locked="0"/>
    </xf>
    <xf numFmtId="188" fontId="4" fillId="0" borderId="0" xfId="0" applyNumberFormat="1" applyFont="1" applyBorder="1" applyAlignment="1" applyProtection="1">
      <alignment/>
      <protection locked="0"/>
    </xf>
    <xf numFmtId="195" fontId="4" fillId="0" borderId="0" xfId="0" applyNumberFormat="1" applyFont="1" applyBorder="1" applyAlignment="1" applyProtection="1">
      <alignment/>
      <protection locked="0"/>
    </xf>
    <xf numFmtId="0" fontId="4" fillId="0" borderId="0" xfId="0" applyFont="1" applyBorder="1" applyAlignment="1" applyProtection="1">
      <alignment horizontal="left" wrapText="1"/>
      <protection locked="0"/>
    </xf>
    <xf numFmtId="1" fontId="4" fillId="0" borderId="0" xfId="0" applyNumberFormat="1" applyFont="1" applyFill="1" applyAlignment="1" applyProtection="1">
      <alignment/>
      <protection/>
    </xf>
    <xf numFmtId="188" fontId="4" fillId="0" borderId="0" xfId="0" applyNumberFormat="1" applyFont="1" applyFill="1" applyAlignment="1" applyProtection="1">
      <alignment/>
      <protection/>
    </xf>
    <xf numFmtId="2" fontId="4" fillId="0" borderId="0" xfId="0" applyNumberFormat="1" applyFont="1" applyFill="1" applyAlignment="1" applyProtection="1">
      <alignment/>
      <protection/>
    </xf>
    <xf numFmtId="0" fontId="4" fillId="0" borderId="0" xfId="0" applyFont="1" applyFill="1" applyAlignment="1" applyProtection="1">
      <alignment/>
      <protection/>
    </xf>
    <xf numFmtId="199" fontId="4" fillId="0" borderId="0" xfId="0" applyNumberFormat="1" applyFont="1" applyFill="1" applyAlignment="1" applyProtection="1">
      <alignment/>
      <protection/>
    </xf>
    <xf numFmtId="0" fontId="3" fillId="0" borderId="0" xfId="0" applyFont="1" applyAlignment="1">
      <alignment/>
    </xf>
    <xf numFmtId="204" fontId="4" fillId="0" borderId="2" xfId="0" applyNumberFormat="1" applyFont="1" applyBorder="1" applyAlignment="1" applyProtection="1">
      <alignment/>
      <protection locked="0"/>
    </xf>
    <xf numFmtId="0" fontId="15" fillId="0" borderId="13" xfId="0" applyFont="1" applyFill="1" applyBorder="1" applyAlignment="1" applyProtection="1">
      <alignment horizontal="left" wrapText="1"/>
      <protection locked="0"/>
    </xf>
    <xf numFmtId="0" fontId="15" fillId="0" borderId="14" xfId="0" applyFont="1" applyBorder="1" applyAlignment="1" applyProtection="1">
      <alignment horizontal="left" wrapText="1"/>
      <protection locked="0"/>
    </xf>
    <xf numFmtId="0" fontId="15" fillId="0" borderId="14" xfId="0" applyFont="1" applyFill="1" applyBorder="1" applyAlignment="1" applyProtection="1">
      <alignment horizontal="left" wrapText="1"/>
      <protection locked="0"/>
    </xf>
    <xf numFmtId="204" fontId="4" fillId="0" borderId="0" xfId="0" applyNumberFormat="1" applyFont="1" applyAlignment="1" applyProtection="1">
      <alignment/>
      <protection locked="0"/>
    </xf>
    <xf numFmtId="204" fontId="4" fillId="2" borderId="1" xfId="0" applyNumberFormat="1" applyFont="1" applyFill="1" applyBorder="1" applyAlignment="1" applyProtection="1">
      <alignment/>
      <protection/>
    </xf>
    <xf numFmtId="0" fontId="3" fillId="0" borderId="0" xfId="0" applyFont="1" applyAlignment="1">
      <alignment wrapText="1"/>
    </xf>
    <xf numFmtId="14" fontId="0" fillId="0" borderId="0" xfId="0" applyNumberFormat="1" applyAlignment="1">
      <alignment/>
    </xf>
    <xf numFmtId="16" fontId="0" fillId="0" borderId="0" xfId="0" applyNumberFormat="1" applyAlignment="1" applyProtection="1">
      <alignment/>
      <protection locked="0"/>
    </xf>
    <xf numFmtId="204" fontId="0" fillId="0" borderId="0" xfId="0" applyNumberFormat="1" applyAlignment="1" applyProtection="1">
      <alignment/>
      <protection locked="0"/>
    </xf>
    <xf numFmtId="0" fontId="0" fillId="0" borderId="0" xfId="0" applyAlignment="1" applyProtection="1">
      <alignment/>
      <protection locked="0"/>
    </xf>
    <xf numFmtId="204" fontId="3" fillId="0" borderId="11" xfId="0" applyNumberFormat="1" applyFont="1" applyBorder="1" applyAlignment="1" applyProtection="1">
      <alignment/>
      <protection/>
    </xf>
    <xf numFmtId="204" fontId="4" fillId="0" borderId="0" xfId="0" applyNumberFormat="1" applyFont="1" applyAlignment="1" applyProtection="1">
      <alignment/>
      <protection/>
    </xf>
    <xf numFmtId="204" fontId="3" fillId="0" borderId="9" xfId="0" applyNumberFormat="1" applyFont="1" applyBorder="1" applyAlignment="1" applyProtection="1">
      <alignment/>
      <protection/>
    </xf>
    <xf numFmtId="204" fontId="4" fillId="0" borderId="15" xfId="0" applyNumberFormat="1" applyFont="1" applyBorder="1" applyAlignment="1" applyProtection="1">
      <alignment/>
      <protection locked="0"/>
    </xf>
    <xf numFmtId="204" fontId="4" fillId="0" borderId="1" xfId="0" applyNumberFormat="1" applyFont="1" applyBorder="1" applyAlignment="1" applyProtection="1">
      <alignment/>
      <protection locked="0"/>
    </xf>
    <xf numFmtId="204" fontId="4" fillId="0" borderId="0" xfId="0" applyNumberFormat="1" applyFont="1" applyBorder="1" applyAlignment="1" applyProtection="1">
      <alignment/>
      <protection locked="0"/>
    </xf>
    <xf numFmtId="204" fontId="3" fillId="0" borderId="0" xfId="0" applyNumberFormat="1" applyFont="1" applyAlignment="1" applyProtection="1">
      <alignment/>
      <protection/>
    </xf>
    <xf numFmtId="14" fontId="4" fillId="0" borderId="1" xfId="0" applyNumberFormat="1" applyFont="1" applyFill="1" applyBorder="1" applyAlignment="1" applyProtection="1">
      <alignment/>
      <protection locked="0"/>
    </xf>
    <xf numFmtId="2" fontId="4" fillId="2" borderId="16" xfId="0" applyNumberFormat="1" applyFont="1" applyFill="1" applyBorder="1" applyAlignment="1" applyProtection="1">
      <alignment/>
      <protection/>
    </xf>
    <xf numFmtId="204" fontId="4" fillId="2" borderId="0" xfId="0" applyNumberFormat="1" applyFont="1" applyFill="1" applyAlignment="1" applyProtection="1">
      <alignment/>
      <protection/>
    </xf>
    <xf numFmtId="206" fontId="0" fillId="0" borderId="0" xfId="0" applyNumberFormat="1" applyAlignment="1" applyProtection="1">
      <alignment/>
      <protection locked="0"/>
    </xf>
    <xf numFmtId="0" fontId="14" fillId="0" borderId="0" xfId="0" applyFont="1" applyAlignment="1" applyProtection="1">
      <alignment horizontal="right"/>
      <protection locked="0"/>
    </xf>
    <xf numFmtId="0" fontId="14" fillId="0" borderId="0" xfId="0" applyFont="1" applyAlignment="1" applyProtection="1">
      <alignment/>
      <protection/>
    </xf>
    <xf numFmtId="0" fontId="14" fillId="0" borderId="0" xfId="0" applyFont="1" applyAlignment="1" applyProtection="1">
      <alignment horizontal="right"/>
      <protection/>
    </xf>
    <xf numFmtId="0" fontId="0" fillId="2" borderId="0" xfId="0" applyFont="1" applyFill="1" applyAlignment="1" applyProtection="1">
      <alignment/>
      <protection/>
    </xf>
    <xf numFmtId="206" fontId="14" fillId="0" borderId="0" xfId="0" applyNumberFormat="1" applyFont="1" applyAlignment="1" applyProtection="1">
      <alignment/>
      <protection/>
    </xf>
    <xf numFmtId="0" fontId="0" fillId="0" borderId="0" xfId="0" applyAlignment="1" applyProtection="1">
      <alignment/>
      <protection/>
    </xf>
    <xf numFmtId="204" fontId="14" fillId="0" borderId="0" xfId="0" applyNumberFormat="1" applyFont="1" applyAlignment="1" applyProtection="1">
      <alignment/>
      <protection/>
    </xf>
    <xf numFmtId="0" fontId="0" fillId="2" borderId="0" xfId="0" applyFill="1" applyAlignment="1" applyProtection="1">
      <alignment/>
      <protection/>
    </xf>
    <xf numFmtId="206" fontId="0" fillId="2" borderId="0" xfId="0" applyNumberFormat="1" applyFill="1" applyAlignment="1" applyProtection="1">
      <alignment/>
      <protection/>
    </xf>
    <xf numFmtId="0" fontId="0" fillId="0" borderId="0" xfId="0" applyFill="1" applyAlignment="1" applyProtection="1">
      <alignment/>
      <protection/>
    </xf>
    <xf numFmtId="206" fontId="0" fillId="0" borderId="0" xfId="0" applyNumberFormat="1" applyFill="1" applyAlignment="1" applyProtection="1">
      <alignment/>
      <protection/>
    </xf>
    <xf numFmtId="206" fontId="0" fillId="0" borderId="0" xfId="0" applyNumberFormat="1" applyAlignment="1" applyProtection="1">
      <alignment/>
      <protection/>
    </xf>
    <xf numFmtId="22" fontId="0" fillId="0" borderId="0" xfId="0" applyNumberFormat="1" applyAlignment="1" applyProtection="1">
      <alignment/>
      <protection locked="0"/>
    </xf>
    <xf numFmtId="2" fontId="14" fillId="0" borderId="0" xfId="0" applyNumberFormat="1" applyFont="1" applyAlignment="1" applyProtection="1">
      <alignment horizontal="center"/>
      <protection/>
    </xf>
    <xf numFmtId="2" fontId="14" fillId="0" borderId="0" xfId="0" applyNumberFormat="1" applyFont="1" applyAlignment="1" applyProtection="1">
      <alignment/>
      <protection/>
    </xf>
    <xf numFmtId="2" fontId="0" fillId="2" borderId="0" xfId="0" applyNumberFormat="1" applyFill="1" applyAlignment="1" applyProtection="1">
      <alignment/>
      <protection/>
    </xf>
    <xf numFmtId="2" fontId="0" fillId="0" borderId="0" xfId="0" applyNumberFormat="1" applyAlignment="1" applyProtection="1">
      <alignment/>
      <protection/>
    </xf>
    <xf numFmtId="2" fontId="4" fillId="2" borderId="0" xfId="0" applyNumberFormat="1" applyFont="1" applyFill="1" applyBorder="1" applyAlignment="1" applyProtection="1">
      <alignment/>
      <protection/>
    </xf>
    <xf numFmtId="0" fontId="0" fillId="2" borderId="0" xfId="0" applyFill="1" applyAlignment="1" applyProtection="1">
      <alignment/>
      <protection locked="0"/>
    </xf>
    <xf numFmtId="2" fontId="0" fillId="0" borderId="0" xfId="0" applyNumberFormat="1" applyAlignment="1">
      <alignment/>
    </xf>
    <xf numFmtId="0" fontId="4" fillId="0" borderId="14" xfId="0" applyFont="1" applyFill="1" applyBorder="1" applyAlignment="1" applyProtection="1">
      <alignment horizontal="left" wrapText="1"/>
      <protection locked="0"/>
    </xf>
    <xf numFmtId="0" fontId="4" fillId="0" borderId="14" xfId="0" applyFont="1" applyBorder="1" applyAlignment="1" applyProtection="1">
      <alignment horizontal="left" wrapText="1"/>
      <protection locked="0"/>
    </xf>
    <xf numFmtId="2" fontId="3" fillId="0" borderId="0" xfId="0" applyNumberFormat="1" applyFont="1" applyAlignment="1" applyProtection="1">
      <alignment horizontal="center"/>
      <protection/>
    </xf>
    <xf numFmtId="0" fontId="3" fillId="0" borderId="12" xfId="0" applyFont="1" applyBorder="1" applyAlignment="1" applyProtection="1">
      <alignment horizontal="center"/>
      <protection/>
    </xf>
    <xf numFmtId="0" fontId="3" fillId="0" borderId="0" xfId="0" applyFont="1" applyBorder="1" applyAlignment="1" applyProtection="1">
      <alignment horizontal="center"/>
      <protection/>
    </xf>
    <xf numFmtId="0" fontId="4" fillId="0" borderId="0" xfId="0" applyFont="1" applyAlignment="1" applyProtection="1">
      <alignment horizontal="center"/>
      <protection locked="0"/>
    </xf>
    <xf numFmtId="0" fontId="3" fillId="0" borderId="0" xfId="0" applyFont="1" applyAlignment="1" applyProtection="1">
      <alignment horizontal="center"/>
      <protection/>
    </xf>
    <xf numFmtId="0" fontId="3" fillId="0" borderId="0" xfId="0" applyFont="1" applyBorder="1" applyAlignment="1" applyProtection="1">
      <alignment horizontal="right"/>
      <protection/>
    </xf>
    <xf numFmtId="0" fontId="3" fillId="0" borderId="12" xfId="0" applyFont="1" applyBorder="1" applyAlignment="1" applyProtection="1">
      <alignment horizontal="right"/>
      <protection/>
    </xf>
    <xf numFmtId="0" fontId="3" fillId="0" borderId="17" xfId="0" applyFont="1" applyBorder="1" applyAlignment="1" applyProtection="1">
      <alignment horizontal="right"/>
      <protection/>
    </xf>
    <xf numFmtId="0" fontId="3" fillId="0" borderId="18" xfId="0" applyFont="1" applyBorder="1" applyAlignment="1" applyProtection="1">
      <alignment horizontal="center"/>
      <protection/>
    </xf>
    <xf numFmtId="199" fontId="4" fillId="2" borderId="0" xfId="0" applyNumberFormat="1" applyFont="1" applyFill="1" applyAlignment="1" applyProtection="1">
      <alignment horizontal="left"/>
      <protection/>
    </xf>
    <xf numFmtId="0" fontId="14" fillId="0" borderId="0" xfId="0" applyFont="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tx>
            <c:v>Log Entries</c:v>
          </c:tx>
          <c:extLst>
            <c:ext xmlns:c14="http://schemas.microsoft.com/office/drawing/2007/8/2/chart" uri="{6F2FDCE9-48DA-4B69-8628-5D25D57E5C99}">
              <c14:invertSolidFillFmt>
                <c14:spPr>
                  <a:solidFill>
                    <a:srgbClr val="000000"/>
                  </a:solidFill>
                </c14:spPr>
              </c14:invertSolidFillFmt>
            </c:ext>
          </c:extLst>
          <c:marker>
            <c:symbol val="diamond"/>
          </c:marker>
          <c:xVal>
            <c:numRef>
              <c:f>'Ships Log'!$Y$7:$Y$37</c:f>
              <c:numCache>
                <c:ptCount val="166"/>
                <c:pt idx="0">
                  <c:v>-64.615</c:v>
                </c:pt>
                <c:pt idx="1">
                  <c:v>-64.69833333333334</c:v>
                </c:pt>
                <c:pt idx="2">
                  <c:v>-64.78000000000002</c:v>
                </c:pt>
                <c:pt idx="3">
                  <c:v>-65.35833333333335</c:v>
                </c:pt>
                <c:pt idx="4">
                  <c:v>-65.65166666666669</c:v>
                </c:pt>
                <c:pt idx="5">
                  <c:v>-65.98499999999999</c:v>
                </c:pt>
                <c:pt idx="6">
                  <c:v>-66.22166666666666</c:v>
                </c:pt>
                <c:pt idx="7">
                  <c:v>-66.44333333333334</c:v>
                </c:pt>
                <c:pt idx="8">
                  <c:v>-66.92333333333335</c:v>
                </c:pt>
                <c:pt idx="9">
                  <c:v>-67.07999999999998</c:v>
                </c:pt>
                <c:pt idx="10">
                  <c:v>-67.72999999999999</c:v>
                </c:pt>
                <c:pt idx="11">
                  <c:v>-68.10666666666664</c:v>
                </c:pt>
                <c:pt idx="12">
                  <c:v>-68.27333333333334</c:v>
                </c:pt>
                <c:pt idx="13">
                  <c:v>-68.52833333333332</c:v>
                </c:pt>
                <c:pt idx="14">
                  <c:v>-68.93666666666667</c:v>
                </c:pt>
                <c:pt idx="15">
                  <c:v>-69.86166666666665</c:v>
                </c:pt>
                <c:pt idx="16">
                  <c:v>-70.255</c:v>
                </c:pt>
                <c:pt idx="17">
                  <c:v>-71.02833333333332</c:v>
                </c:pt>
                <c:pt idx="18">
                  <c:v>-71.71833333333332</c:v>
                </c:pt>
                <c:pt idx="19">
                  <c:v>-72.24666666666666</c:v>
                </c:pt>
                <c:pt idx="20">
                  <c:v>-72.73166666666664</c:v>
                </c:pt>
                <c:pt idx="21">
                  <c:v>-72.89166666666667</c:v>
                </c:pt>
                <c:pt idx="22">
                  <c:v>-73.27666666666667</c:v>
                </c:pt>
                <c:pt idx="23">
                  <c:v>-73.68333333333332</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numCache>
            </c:numRef>
          </c:xVal>
          <c:yVal>
            <c:numRef>
              <c:f>'Ships Log'!$X$7:$X$37</c:f>
              <c:numCache>
                <c:ptCount val="166"/>
                <c:pt idx="0">
                  <c:v>32.39833333333333</c:v>
                </c:pt>
                <c:pt idx="1">
                  <c:v>32.50833333333334</c:v>
                </c:pt>
                <c:pt idx="2">
                  <c:v>32.54666666666667</c:v>
                </c:pt>
                <c:pt idx="3">
                  <c:v>32.83166666666667</c:v>
                </c:pt>
                <c:pt idx="4">
                  <c:v>32.99166666666666</c:v>
                </c:pt>
                <c:pt idx="5">
                  <c:v>33.309999999999995</c:v>
                </c:pt>
                <c:pt idx="6">
                  <c:v>33.51166666666668</c:v>
                </c:pt>
                <c:pt idx="7">
                  <c:v>33.67833333333333</c:v>
                </c:pt>
                <c:pt idx="8">
                  <c:v>33.665</c:v>
                </c:pt>
                <c:pt idx="9">
                  <c:v>33.67666666666666</c:v>
                </c:pt>
                <c:pt idx="10">
                  <c:v>33.81333333333333</c:v>
                </c:pt>
                <c:pt idx="11">
                  <c:v>33.87166666666667</c:v>
                </c:pt>
                <c:pt idx="12">
                  <c:v>33.89166666666666</c:v>
                </c:pt>
                <c:pt idx="13">
                  <c:v>33.765</c:v>
                </c:pt>
                <c:pt idx="14">
                  <c:v>33.69833333333333</c:v>
                </c:pt>
                <c:pt idx="15">
                  <c:v>33.68333333333333</c:v>
                </c:pt>
                <c:pt idx="16">
                  <c:v>33.715</c:v>
                </c:pt>
                <c:pt idx="17">
                  <c:v>33.855000000000004</c:v>
                </c:pt>
                <c:pt idx="18">
                  <c:v>33.85333333333334</c:v>
                </c:pt>
                <c:pt idx="19">
                  <c:v>34.00333333333334</c:v>
                </c:pt>
                <c:pt idx="20">
                  <c:v>34.35</c:v>
                </c:pt>
                <c:pt idx="21">
                  <c:v>34.50833333333334</c:v>
                </c:pt>
                <c:pt idx="22">
                  <c:v>34.848333333333336</c:v>
                </c:pt>
                <c:pt idx="23">
                  <c:v>35.224999999999994</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numCache>
            </c:numRef>
          </c:yVal>
          <c:smooth val="1"/>
        </c:ser>
        <c:ser>
          <c:idx val="1"/>
          <c:order val="1"/>
          <c:tx>
            <c:v>Departure</c:v>
          </c:tx>
          <c:extLst>
            <c:ext xmlns:c14="http://schemas.microsoft.com/office/drawing/2007/8/2/chart" uri="{6F2FDCE9-48DA-4B69-8628-5D25D57E5C99}">
              <c14:invertSolidFillFmt>
                <c14:spPr>
                  <a:solidFill>
                    <a:srgbClr val="000000"/>
                  </a:solidFill>
                </c14:spPr>
              </c14:invertSolidFillFmt>
            </c:ext>
          </c:extLst>
          <c:marker>
            <c:symbol val="square"/>
          </c:marker>
          <c:xVal>
            <c:numRef>
              <c:f>'Ships Log'!$Y$2</c:f>
              <c:numCache>
                <c:ptCount val="1"/>
                <c:pt idx="0">
                  <c:v>-64.615</c:v>
                </c:pt>
              </c:numCache>
            </c:numRef>
          </c:xVal>
          <c:yVal>
            <c:numRef>
              <c:f>'Ships Log'!$X$2</c:f>
              <c:numCache>
                <c:ptCount val="1"/>
                <c:pt idx="0">
                  <c:v>32.39833333333333</c:v>
                </c:pt>
              </c:numCache>
            </c:numRef>
          </c:yVal>
          <c:smooth val="1"/>
        </c:ser>
        <c:ser>
          <c:idx val="2"/>
          <c:order val="2"/>
          <c:tx>
            <c:v>Destination</c:v>
          </c:tx>
          <c:extLst>
            <c:ext xmlns:c14="http://schemas.microsoft.com/office/drawing/2007/8/2/chart" uri="{6F2FDCE9-48DA-4B69-8628-5D25D57E5C99}">
              <c14:invertSolidFillFmt>
                <c14:spPr>
                  <a:solidFill>
                    <a:srgbClr val="000000"/>
                  </a:solidFill>
                </c14:spPr>
              </c14:invertSolidFillFmt>
            </c:ext>
          </c:extLst>
          <c:marker>
            <c:symbol val="triangle"/>
          </c:marker>
          <c:xVal>
            <c:numRef>
              <c:f>'Ships Log'!$Y$3</c:f>
              <c:numCache>
                <c:ptCount val="1"/>
                <c:pt idx="0">
                  <c:v>-76.10499999999999</c:v>
                </c:pt>
              </c:numCache>
            </c:numRef>
          </c:xVal>
          <c:yVal>
            <c:numRef>
              <c:f>'Ships Log'!$X$3</c:f>
              <c:numCache>
                <c:ptCount val="1"/>
                <c:pt idx="0">
                  <c:v>36.97333333333334</c:v>
                </c:pt>
              </c:numCache>
            </c:numRef>
          </c:yVal>
          <c:smooth val="1"/>
        </c:ser>
        <c:ser>
          <c:idx val="3"/>
          <c:order val="3"/>
          <c:tx>
            <c:v>Est. Position</c:v>
          </c:tx>
          <c:extLst>
            <c:ext xmlns:c14="http://schemas.microsoft.com/office/drawing/2007/8/2/chart" uri="{6F2FDCE9-48DA-4B69-8628-5D25D57E5C99}">
              <c14:invertSolidFillFmt>
                <c14:spPr>
                  <a:solidFill>
                    <a:srgbClr val="000000"/>
                  </a:solidFill>
                </c14:spPr>
              </c14:invertSolidFillFmt>
            </c:ext>
          </c:extLst>
          <c:marker>
            <c:symbol val="x"/>
          </c:marker>
          <c:xVal>
            <c:numRef>
              <c:f>'Ships Log'!$Z$3</c:f>
              <c:numCache>
                <c:ptCount val="1"/>
                <c:pt idx="0">
                  <c:v>-74.73166666666664</c:v>
                </c:pt>
              </c:numCache>
            </c:numRef>
          </c:xVal>
          <c:yVal>
            <c:numRef>
              <c:f>'Ships Log'!$Z$2</c:f>
              <c:numCache>
                <c:ptCount val="1"/>
                <c:pt idx="0">
                  <c:v>36.196666666666665</c:v>
                </c:pt>
              </c:numCache>
            </c:numRef>
          </c:yVal>
          <c:smooth val="1"/>
        </c:ser>
        <c:axId val="50518630"/>
        <c:axId val="52014487"/>
      </c:scatterChart>
      <c:valAx>
        <c:axId val="50518630"/>
        <c:scaling>
          <c:orientation val="minMax"/>
        </c:scaling>
        <c:axPos val="b"/>
        <c:title>
          <c:tx>
            <c:rich>
              <a:bodyPr vert="horz" rot="0" anchor="ctr"/>
              <a:lstStyle/>
              <a:p>
                <a:pPr algn="ctr">
                  <a:defRPr/>
                </a:pPr>
                <a:r>
                  <a:rPr lang="en-US" cap="none" sz="1850" b="1" i="0" u="none" baseline="0">
                    <a:latin typeface="Arial"/>
                    <a:ea typeface="Arial"/>
                    <a:cs typeface="Arial"/>
                  </a:rPr>
                  <a:t>Longitude</a:t>
                </a:r>
              </a:p>
            </c:rich>
          </c:tx>
          <c:layout/>
          <c:overlay val="0"/>
          <c:spPr>
            <a:noFill/>
            <a:ln>
              <a:noFill/>
            </a:ln>
          </c:spPr>
        </c:title>
        <c:majorGridlines/>
        <c:delete val="0"/>
        <c:numFmt formatCode="General" sourceLinked="1"/>
        <c:majorTickMark val="out"/>
        <c:minorTickMark val="none"/>
        <c:tickLblPos val="nextTo"/>
        <c:crossAx val="52014487"/>
        <c:crosses val="autoZero"/>
        <c:crossBetween val="midCat"/>
        <c:dispUnits/>
      </c:valAx>
      <c:valAx>
        <c:axId val="52014487"/>
        <c:scaling>
          <c:orientation val="minMax"/>
        </c:scaling>
        <c:axPos val="l"/>
        <c:title>
          <c:tx>
            <c:rich>
              <a:bodyPr vert="horz" rot="-5400000" anchor="ctr"/>
              <a:lstStyle/>
              <a:p>
                <a:pPr algn="ctr">
                  <a:defRPr/>
                </a:pPr>
                <a:r>
                  <a:rPr lang="en-US" cap="none" sz="1850" b="1" i="0" u="none" baseline="0">
                    <a:latin typeface="Arial"/>
                    <a:ea typeface="Arial"/>
                    <a:cs typeface="Arial"/>
                  </a:rPr>
                  <a:t>Latitude</a:t>
                </a:r>
              </a:p>
            </c:rich>
          </c:tx>
          <c:layout/>
          <c:overlay val="0"/>
          <c:spPr>
            <a:noFill/>
            <a:ln>
              <a:noFill/>
            </a:ln>
          </c:spPr>
        </c:title>
        <c:majorGridlines/>
        <c:delete val="0"/>
        <c:numFmt formatCode="General" sourceLinked="1"/>
        <c:majorTickMark val="out"/>
        <c:minorTickMark val="none"/>
        <c:tickLblPos val="nextTo"/>
        <c:crossAx val="5051863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19050</xdr:rowOff>
    </xdr:from>
    <xdr:to>
      <xdr:col>23</xdr:col>
      <xdr:colOff>0</xdr:colOff>
      <xdr:row>41</xdr:row>
      <xdr:rowOff>19050</xdr:rowOff>
    </xdr:to>
    <xdr:graphicFrame>
      <xdr:nvGraphicFramePr>
        <xdr:cNvPr id="1" name="Chart 2"/>
        <xdr:cNvGraphicFramePr/>
      </xdr:nvGraphicFramePr>
      <xdr:xfrm>
        <a:off x="619125" y="180975"/>
        <a:ext cx="13401675" cy="6477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jstevens\My%20Documents\Navigation\Lagos-Madeira\Fuel%20Consump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4">
          <cell r="B4">
            <v>0.8</v>
          </cell>
        </row>
        <row r="5">
          <cell r="B5">
            <v>0.46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50"/>
  <sheetViews>
    <sheetView workbookViewId="0" topLeftCell="A1">
      <selection activeCell="A2" sqref="A2"/>
    </sheetView>
  </sheetViews>
  <sheetFormatPr defaultColWidth="9.140625" defaultRowHeight="12.75"/>
  <cols>
    <col min="1" max="1" width="144.28125" style="0" customWidth="1"/>
  </cols>
  <sheetData>
    <row r="1" ht="33.75">
      <c r="A1" s="7" t="s">
        <v>99</v>
      </c>
    </row>
    <row r="2" ht="12.75">
      <c r="A2" s="8"/>
    </row>
    <row r="3" ht="38.25">
      <c r="A3" s="8" t="s">
        <v>21</v>
      </c>
    </row>
    <row r="4" ht="12.75">
      <c r="A4" s="8"/>
    </row>
    <row r="5" ht="38.25">
      <c r="A5" s="8" t="s">
        <v>42</v>
      </c>
    </row>
    <row r="6" ht="12.75">
      <c r="A6" s="8"/>
    </row>
    <row r="7" ht="51">
      <c r="A7" s="8" t="s">
        <v>75</v>
      </c>
    </row>
    <row r="8" ht="12.75">
      <c r="A8" s="8"/>
    </row>
    <row r="9" ht="25.5">
      <c r="A9" s="8" t="s">
        <v>43</v>
      </c>
    </row>
    <row r="10" ht="38.25">
      <c r="A10" s="8" t="s">
        <v>44</v>
      </c>
    </row>
    <row r="11" ht="12.75">
      <c r="A11" s="8"/>
    </row>
    <row r="12" ht="25.5">
      <c r="A12" s="8" t="s">
        <v>68</v>
      </c>
    </row>
    <row r="13" ht="12.75">
      <c r="A13" s="8"/>
    </row>
    <row r="14" ht="12.75">
      <c r="A14" s="8" t="s">
        <v>45</v>
      </c>
    </row>
    <row r="15" ht="25.5">
      <c r="A15" s="37" t="s">
        <v>81</v>
      </c>
    </row>
    <row r="16" ht="55.5">
      <c r="A16" s="37" t="s">
        <v>76</v>
      </c>
    </row>
    <row r="17" ht="12.75">
      <c r="A17" s="36" t="s">
        <v>77</v>
      </c>
    </row>
    <row r="18" ht="25.5">
      <c r="A18" s="37" t="s">
        <v>22</v>
      </c>
    </row>
    <row r="19" ht="31.5">
      <c r="A19" s="37" t="s">
        <v>74</v>
      </c>
    </row>
    <row r="20" ht="12.75">
      <c r="A20" s="37" t="s">
        <v>0</v>
      </c>
    </row>
    <row r="21" ht="51">
      <c r="A21" s="37" t="s">
        <v>1</v>
      </c>
    </row>
    <row r="22" ht="12.75">
      <c r="A22" s="37" t="s">
        <v>2</v>
      </c>
    </row>
    <row r="23" ht="25.5">
      <c r="A23" s="37" t="s">
        <v>3</v>
      </c>
    </row>
    <row r="24" ht="12.75">
      <c r="A24" s="8"/>
    </row>
    <row r="25" ht="51">
      <c r="A25" s="8" t="s">
        <v>59</v>
      </c>
    </row>
    <row r="26" ht="25.5">
      <c r="A26" s="8" t="s">
        <v>60</v>
      </c>
    </row>
    <row r="27" ht="12.75">
      <c r="A27" s="8"/>
    </row>
    <row r="28" ht="18">
      <c r="A28" s="54" t="s">
        <v>4</v>
      </c>
    </row>
    <row r="29" ht="12.75">
      <c r="A29" s="8"/>
    </row>
    <row r="30" ht="25.5">
      <c r="A30" s="8" t="s">
        <v>5</v>
      </c>
    </row>
    <row r="31" ht="12.75">
      <c r="A31" s="8" t="s">
        <v>6</v>
      </c>
    </row>
    <row r="32" ht="12.75">
      <c r="A32" s="37" t="s">
        <v>7</v>
      </c>
    </row>
    <row r="33" ht="38.25">
      <c r="A33" s="37" t="s">
        <v>8</v>
      </c>
    </row>
    <row r="34" ht="25.5">
      <c r="A34" s="37" t="s">
        <v>67</v>
      </c>
    </row>
    <row r="35" ht="12.75">
      <c r="A35" s="8"/>
    </row>
    <row r="36" ht="12.75">
      <c r="A36" s="8" t="s">
        <v>9</v>
      </c>
    </row>
    <row r="37" ht="25.5">
      <c r="A37" s="37" t="s">
        <v>73</v>
      </c>
    </row>
    <row r="38" ht="12.75">
      <c r="A38" s="37" t="s">
        <v>10</v>
      </c>
    </row>
    <row r="39" ht="25.5">
      <c r="A39" s="37" t="s">
        <v>11</v>
      </c>
    </row>
    <row r="40" ht="12.75">
      <c r="A40" s="37" t="s">
        <v>12</v>
      </c>
    </row>
    <row r="41" ht="25.5">
      <c r="A41" s="37" t="s">
        <v>13</v>
      </c>
    </row>
    <row r="42" ht="38.25">
      <c r="A42" s="37" t="s">
        <v>14</v>
      </c>
    </row>
    <row r="43" ht="25.5">
      <c r="A43" s="37" t="s">
        <v>15</v>
      </c>
    </row>
    <row r="44" ht="25.5">
      <c r="A44" s="37" t="s">
        <v>16</v>
      </c>
    </row>
    <row r="45" ht="12.75">
      <c r="A45" s="37" t="s">
        <v>17</v>
      </c>
    </row>
    <row r="46" ht="25.5">
      <c r="A46" s="37" t="s">
        <v>18</v>
      </c>
    </row>
    <row r="47" ht="12.75">
      <c r="A47" s="37" t="s">
        <v>70</v>
      </c>
    </row>
    <row r="48" ht="12.75">
      <c r="A48" s="37" t="s">
        <v>71</v>
      </c>
    </row>
    <row r="49" ht="12.75">
      <c r="A49" s="37" t="s">
        <v>72</v>
      </c>
    </row>
    <row r="50" ht="25.5">
      <c r="A50" s="37" t="s">
        <v>19</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Z42"/>
  <sheetViews>
    <sheetView tabSelected="1" zoomScale="75" zoomScaleNormal="75" workbookViewId="0" topLeftCell="A1">
      <pane ySplit="6" topLeftCell="BM7" activePane="bottomLeft" state="frozen"/>
      <selection pane="topLeft" activeCell="A2" sqref="A2"/>
      <selection pane="bottomLeft" activeCell="A7" sqref="A7"/>
    </sheetView>
  </sheetViews>
  <sheetFormatPr defaultColWidth="9.140625" defaultRowHeight="12.75"/>
  <cols>
    <col min="1" max="1" width="11.7109375" style="13" bestFit="1" customWidth="1"/>
    <col min="2" max="2" width="7.140625" style="80" bestFit="1" customWidth="1"/>
    <col min="3" max="3" width="12.8515625" style="13" bestFit="1" customWidth="1"/>
    <col min="4" max="4" width="18.28125" style="13" bestFit="1" customWidth="1"/>
    <col min="5" max="5" width="8.57421875" style="15" bestFit="1" customWidth="1"/>
    <col min="6" max="6" width="11.421875" style="42" bestFit="1" customWidth="1"/>
    <col min="7" max="7" width="9.421875" style="15" bestFit="1" customWidth="1"/>
    <col min="8" max="8" width="16.28125" style="13" bestFit="1" customWidth="1"/>
    <col min="9" max="9" width="10.28125" style="80" bestFit="1" customWidth="1"/>
    <col min="10" max="10" width="32.28125" style="51" customWidth="1"/>
    <col min="11" max="11" width="10.57421875" style="28" customWidth="1"/>
    <col min="12" max="12" width="11.140625" style="13" bestFit="1" customWidth="1"/>
    <col min="13" max="13" width="9.00390625" style="13" bestFit="1" customWidth="1"/>
    <col min="14" max="14" width="8.140625" style="13" bestFit="1" customWidth="1"/>
    <col min="15" max="15" width="11.57421875" style="13" customWidth="1"/>
    <col min="16" max="16" width="9.8515625" style="14" customWidth="1"/>
    <col min="17" max="17" width="12.140625" style="13" bestFit="1" customWidth="1"/>
    <col min="18" max="18" width="12.7109375" style="13" bestFit="1" customWidth="1"/>
    <col min="19" max="19" width="14.140625" style="15" bestFit="1" customWidth="1"/>
    <col min="20" max="20" width="9.28125" style="14" bestFit="1" customWidth="1"/>
    <col min="21" max="21" width="9.28125" style="14" customWidth="1"/>
    <col min="22" max="22" width="9.28125" style="28" bestFit="1" customWidth="1"/>
    <col min="23" max="23" width="16.28125" style="41" bestFit="1" customWidth="1"/>
    <col min="24" max="16384" width="9.140625" style="13" customWidth="1"/>
  </cols>
  <sheetData>
    <row r="1" spans="2:18" ht="16.5" thickBot="1">
      <c r="B1" s="81"/>
      <c r="C1" s="39" t="s">
        <v>28</v>
      </c>
      <c r="D1" s="39" t="s">
        <v>29</v>
      </c>
      <c r="E1" s="17" t="s">
        <v>38</v>
      </c>
      <c r="F1" s="113" t="s">
        <v>51</v>
      </c>
      <c r="G1" s="114"/>
      <c r="H1" s="40" t="s">
        <v>54</v>
      </c>
      <c r="I1" s="79" t="s">
        <v>39</v>
      </c>
      <c r="N1" s="34" t="s">
        <v>66</v>
      </c>
      <c r="O1" s="34"/>
      <c r="Q1" s="13" t="s">
        <v>110</v>
      </c>
      <c r="R1" s="88">
        <f>IF(ISNA($O$2),"",getctrise($O$2,$O$3,$K$2))</f>
        <v>915.29526042702</v>
      </c>
    </row>
    <row r="2" spans="1:26" ht="16.5" thickTop="1">
      <c r="A2" s="117" t="s">
        <v>50</v>
      </c>
      <c r="B2" s="117"/>
      <c r="C2" s="2">
        <v>32.239</v>
      </c>
      <c r="D2" s="2">
        <v>-64.369</v>
      </c>
      <c r="E2" s="50"/>
      <c r="F2" s="115" t="s">
        <v>118</v>
      </c>
      <c r="G2" s="115"/>
      <c r="H2" s="31">
        <v>39244</v>
      </c>
      <c r="I2" s="72">
        <v>1900</v>
      </c>
      <c r="J2" s="52" t="s">
        <v>61</v>
      </c>
      <c r="K2" s="121">
        <f ca="1">NOW()</f>
        <v>39258.59458564815</v>
      </c>
      <c r="L2" s="121"/>
      <c r="M2" s="18"/>
      <c r="N2" s="33" t="s">
        <v>64</v>
      </c>
      <c r="O2" s="35">
        <f>IF(ISBLANK(H2),NA(),IF(ISBLANK(A8),NA(),IF(ISBLANK(H3),currentlat($A$8:$V$37,$K$2+$K$3/24),C3)))</f>
        <v>36.582</v>
      </c>
      <c r="Q2" s="13" t="s">
        <v>111</v>
      </c>
      <c r="R2" s="88">
        <f>IF(ISNA($O$2),"",getsunrise($O$2,$O$3,$K$2))</f>
        <v>946.1861460889799</v>
      </c>
      <c r="X2" s="13">
        <f>IF(ISBLANK($H2),NA(),deg(C2))</f>
        <v>32.39833333333333</v>
      </c>
      <c r="Y2" s="13">
        <f>IF(ISBLANK($H2),NA(),deg(D2))</f>
        <v>-64.615</v>
      </c>
      <c r="Z2" s="13">
        <f>IF(ISNA(O2),NA(),deg(O2))</f>
        <v>36.970000000000006</v>
      </c>
    </row>
    <row r="3" spans="1:26" ht="15.75">
      <c r="A3" s="118" t="s">
        <v>49</v>
      </c>
      <c r="B3" s="119"/>
      <c r="C3" s="30">
        <v>36.582</v>
      </c>
      <c r="D3" s="30">
        <v>-76.066</v>
      </c>
      <c r="E3" s="50"/>
      <c r="F3" s="115" t="s">
        <v>119</v>
      </c>
      <c r="G3" s="115"/>
      <c r="H3" s="31">
        <v>39250</v>
      </c>
      <c r="I3" s="72">
        <v>1211</v>
      </c>
      <c r="J3" s="52" t="s">
        <v>62</v>
      </c>
      <c r="K3" s="32">
        <v>0</v>
      </c>
      <c r="L3" s="18" t="s">
        <v>63</v>
      </c>
      <c r="N3" s="33" t="s">
        <v>65</v>
      </c>
      <c r="O3" s="35">
        <f>IF(ISBLANK(H2),NA(),IF(ISBLANK(A8),NA(),IF(ISBLANK(H3),currentlon($A$8:$V$37,O2,$K$2+$K$3/24),D3)))</f>
        <v>-76.066</v>
      </c>
      <c r="Q3" s="13" t="s">
        <v>112</v>
      </c>
      <c r="R3" s="88">
        <f>IF(ISNA($O$2),"",getsunset($O$2,$O$3,$K$2))</f>
        <v>27.55941702865322</v>
      </c>
      <c r="U3" s="43"/>
      <c r="X3" s="13">
        <f>IF(ISBLANK($C3),NA(),deg(C3))</f>
        <v>36.970000000000006</v>
      </c>
      <c r="Y3" s="13">
        <f>IF(ISBLANK($D3),NA(),deg(D3))</f>
        <v>-76.11</v>
      </c>
      <c r="Z3" s="13">
        <f>IF(ISNA(O3),NA(),deg(O3))</f>
        <v>-76.11</v>
      </c>
    </row>
    <row r="4" spans="17:21" ht="15.75">
      <c r="Q4" s="13" t="s">
        <v>113</v>
      </c>
      <c r="R4" s="88">
        <f>IF(ISNA($O$2),"",getctset($O$2,$O$3,$K$2))</f>
        <v>58.44552262919582</v>
      </c>
      <c r="T4" s="16"/>
      <c r="U4" s="43"/>
    </row>
    <row r="5" spans="1:24" ht="15.75">
      <c r="A5" s="44"/>
      <c r="B5" s="85"/>
      <c r="C5" s="18"/>
      <c r="D5" s="18"/>
      <c r="E5" s="17"/>
      <c r="F5" s="113" t="s">
        <v>23</v>
      </c>
      <c r="G5" s="114"/>
      <c r="H5" s="114"/>
      <c r="I5" s="120"/>
      <c r="K5" s="116" t="s">
        <v>24</v>
      </c>
      <c r="L5" s="116"/>
      <c r="M5" s="116"/>
      <c r="N5" s="116"/>
      <c r="O5" s="116"/>
      <c r="P5" s="16" t="s">
        <v>25</v>
      </c>
      <c r="S5" s="17" t="s">
        <v>37</v>
      </c>
      <c r="T5" s="16" t="s">
        <v>56</v>
      </c>
      <c r="U5" s="112" t="s">
        <v>69</v>
      </c>
      <c r="V5" s="112"/>
      <c r="X5" s="13" t="s">
        <v>78</v>
      </c>
    </row>
    <row r="6" spans="1:25" ht="16.5" thickBot="1">
      <c r="A6" s="38" t="s">
        <v>26</v>
      </c>
      <c r="B6" s="81" t="s">
        <v>27</v>
      </c>
      <c r="C6" s="38" t="s">
        <v>28</v>
      </c>
      <c r="D6" s="38" t="s">
        <v>29</v>
      </c>
      <c r="E6" s="45" t="s">
        <v>30</v>
      </c>
      <c r="F6" s="46" t="s">
        <v>31</v>
      </c>
      <c r="G6" s="45" t="s">
        <v>32</v>
      </c>
      <c r="H6" s="38" t="s">
        <v>33</v>
      </c>
      <c r="I6" s="81" t="s">
        <v>34</v>
      </c>
      <c r="J6" s="53" t="s">
        <v>35</v>
      </c>
      <c r="K6" s="29" t="s">
        <v>36</v>
      </c>
      <c r="L6" s="18" t="s">
        <v>37</v>
      </c>
      <c r="M6" s="18" t="s">
        <v>38</v>
      </c>
      <c r="N6" s="18" t="s">
        <v>39</v>
      </c>
      <c r="O6" s="18" t="s">
        <v>40</v>
      </c>
      <c r="P6" s="16" t="s">
        <v>41</v>
      </c>
      <c r="Q6" s="18" t="s">
        <v>52</v>
      </c>
      <c r="R6" s="18" t="s">
        <v>53</v>
      </c>
      <c r="S6" s="17" t="s">
        <v>55</v>
      </c>
      <c r="T6" s="16" t="s">
        <v>57</v>
      </c>
      <c r="U6" s="16" t="s">
        <v>36</v>
      </c>
      <c r="V6" s="43" t="s">
        <v>58</v>
      </c>
      <c r="W6" s="47" t="s">
        <v>20</v>
      </c>
      <c r="X6" s="13" t="s">
        <v>79</v>
      </c>
      <c r="Y6" s="13" t="s">
        <v>80</v>
      </c>
    </row>
    <row r="7" spans="1:25" ht="16.5" thickBot="1" thickTop="1">
      <c r="A7" s="55">
        <f>H2</f>
        <v>39244</v>
      </c>
      <c r="B7" s="73">
        <f>I2</f>
        <v>1900</v>
      </c>
      <c r="C7" s="56">
        <f>C2</f>
        <v>32.239</v>
      </c>
      <c r="D7" s="56">
        <f>D2</f>
        <v>-64.369</v>
      </c>
      <c r="E7" s="57">
        <f>E2</f>
        <v>0</v>
      </c>
      <c r="F7" s="9"/>
      <c r="G7" s="11"/>
      <c r="H7" s="3"/>
      <c r="I7" s="82"/>
      <c r="J7" s="58"/>
      <c r="K7" s="48" t="e">
        <f>IF(ISBLANK(F7),NA(),F7)</f>
        <v>#N/A</v>
      </c>
      <c r="L7" s="48" t="e">
        <f>NA()</f>
        <v>#N/A</v>
      </c>
      <c r="M7" s="20">
        <f>E2</f>
        <v>0</v>
      </c>
      <c r="N7" s="27">
        <v>0</v>
      </c>
      <c r="O7" s="48" t="e">
        <f>IF(ISBLANK(G7),NA(),G7)</f>
        <v>#N/A</v>
      </c>
      <c r="P7" s="48" t="e">
        <f>NA()</f>
        <v>#N/A</v>
      </c>
      <c r="Q7" s="27">
        <f>IF(ISBLANK(A7),NA(),IF(ISBLANK(C7),mlat(C2,F7,E7-E2),C7))</f>
        <v>32.239</v>
      </c>
      <c r="R7" s="27">
        <f>IF(ISBLANK(A7),NA(),IF(ISBLANK(D7),mlon(C2,D2,F7,E7-E2,Q7),D7))</f>
        <v>-64.369</v>
      </c>
      <c r="S7" s="48" t="e">
        <f>NA()</f>
        <v>#N/A</v>
      </c>
      <c r="T7" s="48" t="e">
        <f>NA()</f>
        <v>#N/A</v>
      </c>
      <c r="U7" s="48">
        <f>IF(Q7&lt;&gt;0,mcourse($Q7,$R7,$C$3,$D$3),NA())</f>
        <v>295.7197544346211</v>
      </c>
      <c r="V7" s="48">
        <f>IF(Q7&lt;&gt;0,Mdistance($Q7,$R7,$C$3,$D$3),NA())</f>
        <v>632.0717315664148</v>
      </c>
      <c r="W7" s="49" t="e">
        <f>IF(O7&lt;&gt;0,IF(ISBLANK(A7),NA(),V7/O7/24+A7+timecalc(B7)),NA())</f>
        <v>#N/A</v>
      </c>
      <c r="X7" s="13">
        <f>IF(ISNA(Q7),NA(),deg(Q7))</f>
        <v>32.39833333333333</v>
      </c>
      <c r="Y7" s="13">
        <f>IF(ISNA(R7),NA(),deg(R7))</f>
        <v>-64.615</v>
      </c>
    </row>
    <row r="8" spans="1:25" ht="18.75" thickTop="1">
      <c r="A8" s="86">
        <v>39244</v>
      </c>
      <c r="B8" s="68">
        <v>2220</v>
      </c>
      <c r="C8" s="4">
        <v>32.305</v>
      </c>
      <c r="D8" s="4">
        <v>-64.419</v>
      </c>
      <c r="E8" s="3"/>
      <c r="F8" s="9">
        <v>300</v>
      </c>
      <c r="G8" s="11">
        <v>4.8</v>
      </c>
      <c r="H8" s="5">
        <v>0</v>
      </c>
      <c r="I8" s="68">
        <v>15</v>
      </c>
      <c r="J8" s="69" t="s">
        <v>120</v>
      </c>
      <c r="K8" s="48">
        <f>IF(ISBLANK(A8),0,mcourse(Q7,R7,Q8,R8))</f>
        <v>327.2849344354673</v>
      </c>
      <c r="L8" s="20">
        <f>IF(ISBLANK(A8),0,Mdistance(Q7,R7,Q8,R8))</f>
        <v>7.844361217016703</v>
      </c>
      <c r="M8" s="20">
        <f>IF(ISBLANK(A8),0,L8+M7)</f>
        <v>7.844361217016703</v>
      </c>
      <c r="N8" s="19">
        <f aca="true" t="shared" si="0" ref="N8:N37">IF(ISBLANK(A8),0,(A8+timecalc(B8)-(A7+timecalc(B7)))*24)</f>
        <v>3.3333333333721384</v>
      </c>
      <c r="O8" s="20">
        <f aca="true" t="shared" si="1" ref="O8:O37">IF(N8&gt;0,L8/N8,NA())</f>
        <v>2.353308365077615</v>
      </c>
      <c r="P8" s="19">
        <f>daysrun(A$7:B8,M$7:M8)</f>
        <v>0</v>
      </c>
      <c r="Q8" s="27">
        <f aca="true" t="shared" si="2" ref="Q8:Q29">IF(ISBLANK($B8),NA(),IF(ISBLANK(C8),mlat(Q7,F8,E8-E7),C8))</f>
        <v>32.305</v>
      </c>
      <c r="R8" s="27">
        <f aca="true" t="shared" si="3" ref="R8:R29">IF(ISBLANK($B8),NA(),IF(ISBLANK(D8),mlon(Q7,R7,F8,E8-E7,Q8),D8))</f>
        <v>-64.419</v>
      </c>
      <c r="S8" s="20">
        <f>IF(ISNA(Q8),NA(),DistanceMadeGood(K7:R8,$C$3:$D$3))</f>
        <v>6.683750443278634</v>
      </c>
      <c r="T8" s="19">
        <f>IF(L8&lt;&gt;0,S8/L8,NA())</f>
        <v>0.8520452154573955</v>
      </c>
      <c r="U8" s="48">
        <f aca="true" t="shared" si="4" ref="U8:U37">IF(Q8&lt;&gt;0,mcourse($Q8,$R8,$C$3,$D$3),NA())</f>
        <v>295.35353889304804</v>
      </c>
      <c r="V8" s="48">
        <f aca="true" t="shared" si="5" ref="V8:V37">IF(Q8&lt;&gt;0,Mdistance(Q8,R8,$C$3,$D$3),NA())</f>
        <v>625.1715331753977</v>
      </c>
      <c r="W8" s="49">
        <f>IF(O8&lt;&gt;0,IF(ISBLANK(A8),NA(),V8/O8/24+A8+timecalc(B8)),NA())</f>
        <v>39255.9995740781</v>
      </c>
      <c r="X8" s="13">
        <f aca="true" t="shared" si="6" ref="X8:X37">IF(ISNA(Q8),NA(),deg(Q8))</f>
        <v>32.50833333333334</v>
      </c>
      <c r="Y8" s="13">
        <f aca="true" t="shared" si="7" ref="Y8:Y37">IF(ISNA(R8),NA(),deg(R8))</f>
        <v>-64.69833333333334</v>
      </c>
    </row>
    <row r="9" spans="1:25" ht="18">
      <c r="A9" s="86">
        <v>39244</v>
      </c>
      <c r="B9" s="68">
        <v>2315</v>
      </c>
      <c r="C9" s="4">
        <v>32.328</v>
      </c>
      <c r="D9" s="4">
        <v>-64.468</v>
      </c>
      <c r="E9" s="5"/>
      <c r="F9" s="10">
        <v>300</v>
      </c>
      <c r="G9" s="12">
        <v>5</v>
      </c>
      <c r="H9" s="5" t="s">
        <v>122</v>
      </c>
      <c r="I9" s="68">
        <v>15</v>
      </c>
      <c r="J9" s="70" t="s">
        <v>123</v>
      </c>
      <c r="K9" s="48">
        <f aca="true" t="shared" si="8" ref="K9:K37">IF(ISBLANK(A9),0,mcourse(Q8,R8,Q9,R9))</f>
        <v>298.98818437369897</v>
      </c>
      <c r="L9" s="20">
        <f aca="true" t="shared" si="9" ref="L9:L37">IF(ISBLANK(A9),0,Mdistance(Q8,R8,Q9,R9))</f>
        <v>4.7458960147404685</v>
      </c>
      <c r="M9" s="20">
        <f aca="true" t="shared" si="10" ref="M9:M37">IF(ISBLANK(A9),0,L9+M8)</f>
        <v>12.590257231757171</v>
      </c>
      <c r="N9" s="19">
        <f t="shared" si="0"/>
        <v>0.9166666666860692</v>
      </c>
      <c r="O9" s="20">
        <f>IF(N9&gt;0,L9/N9,NA())</f>
        <v>5.177341106880016</v>
      </c>
      <c r="P9" s="19">
        <f>daysrun(A$7:B9,M$7:M9)</f>
        <v>0</v>
      </c>
      <c r="Q9" s="27">
        <f t="shared" si="2"/>
        <v>32.328</v>
      </c>
      <c r="R9" s="27">
        <f t="shared" si="3"/>
        <v>-64.468</v>
      </c>
      <c r="S9" s="20">
        <f aca="true" t="shared" si="11" ref="S9:S37">IF(ISNA(Q9),NA(),DistanceMadeGood(K8:R9,$C$3:$D$3))</f>
        <v>4.7363500148319595</v>
      </c>
      <c r="T9" s="19">
        <f aca="true" t="shared" si="12" ref="T9:T37">IF(L9&lt;&gt;0,S9/L9,NA())</f>
        <v>0.9979885779463226</v>
      </c>
      <c r="U9" s="48">
        <f t="shared" si="4"/>
        <v>295.32648499082427</v>
      </c>
      <c r="V9" s="48">
        <f t="shared" si="5"/>
        <v>620.418554168293</v>
      </c>
      <c r="W9" s="49">
        <f aca="true" t="shared" si="13" ref="W9:W37">IF(O9&lt;&gt;0,IF(ISBLANK(A9),NA(),V9/O9/24+A9+timecalc(B9)),NA())</f>
        <v>39249.96180967227</v>
      </c>
      <c r="X9" s="13">
        <f t="shared" si="6"/>
        <v>32.54666666666667</v>
      </c>
      <c r="Y9" s="13">
        <f t="shared" si="7"/>
        <v>-64.78000000000002</v>
      </c>
    </row>
    <row r="10" spans="1:25" ht="18">
      <c r="A10" s="86">
        <v>39245</v>
      </c>
      <c r="B10" s="68">
        <v>542</v>
      </c>
      <c r="C10" s="4">
        <v>32.499</v>
      </c>
      <c r="D10" s="4">
        <v>-65.215</v>
      </c>
      <c r="E10" s="5"/>
      <c r="F10" s="10">
        <v>305</v>
      </c>
      <c r="G10" s="12">
        <v>5.2</v>
      </c>
      <c r="H10" s="5" t="s">
        <v>124</v>
      </c>
      <c r="I10" s="68">
        <v>18</v>
      </c>
      <c r="J10" s="70" t="s">
        <v>123</v>
      </c>
      <c r="K10" s="48">
        <f t="shared" si="8"/>
        <v>300.23066934303955</v>
      </c>
      <c r="L10" s="20">
        <f t="shared" si="9"/>
        <v>33.963444308950336</v>
      </c>
      <c r="M10" s="20">
        <f t="shared" si="10"/>
        <v>46.55370154070751</v>
      </c>
      <c r="N10" s="19">
        <f t="shared" si="0"/>
        <v>6.450000000069849</v>
      </c>
      <c r="O10" s="20">
        <f t="shared" si="1"/>
        <v>5.265650280400393</v>
      </c>
      <c r="P10" s="19">
        <f>daysrun(A$7:B10,M$7:M10)</f>
        <v>0</v>
      </c>
      <c r="Q10" s="27">
        <f t="shared" si="2"/>
        <v>32.499</v>
      </c>
      <c r="R10" s="27">
        <f t="shared" si="3"/>
        <v>-65.215</v>
      </c>
      <c r="S10" s="20">
        <f t="shared" si="11"/>
        <v>33.83910602343163</v>
      </c>
      <c r="T10" s="19">
        <f t="shared" si="12"/>
        <v>0.9963390554742431</v>
      </c>
      <c r="U10" s="48">
        <f t="shared" si="4"/>
        <v>295.050222450599</v>
      </c>
      <c r="V10" s="48">
        <f t="shared" si="5"/>
        <v>586.425738075979</v>
      </c>
      <c r="W10" s="49">
        <f t="shared" si="13"/>
        <v>39249.877839645065</v>
      </c>
      <c r="X10" s="13">
        <f t="shared" si="6"/>
        <v>32.83166666666667</v>
      </c>
      <c r="Y10" s="13">
        <f t="shared" si="7"/>
        <v>-65.35833333333335</v>
      </c>
    </row>
    <row r="11" spans="1:25" ht="18">
      <c r="A11" s="86">
        <v>39245</v>
      </c>
      <c r="B11" s="68">
        <v>937</v>
      </c>
      <c r="C11" s="4">
        <v>32.595</v>
      </c>
      <c r="D11" s="4">
        <v>-65.391</v>
      </c>
      <c r="E11" s="5"/>
      <c r="F11" s="10">
        <v>310</v>
      </c>
      <c r="G11" s="12">
        <v>4.5</v>
      </c>
      <c r="H11" s="5" t="s">
        <v>122</v>
      </c>
      <c r="I11" s="68">
        <v>18</v>
      </c>
      <c r="J11" s="70"/>
      <c r="K11" s="48">
        <f t="shared" si="8"/>
        <v>302.88796828617217</v>
      </c>
      <c r="L11" s="20">
        <f t="shared" si="9"/>
        <v>17.679619102957364</v>
      </c>
      <c r="M11" s="20">
        <f t="shared" si="10"/>
        <v>64.23332064366487</v>
      </c>
      <c r="N11" s="19">
        <f t="shared" si="0"/>
        <v>3.9166666665114462</v>
      </c>
      <c r="O11" s="20">
        <f t="shared" si="1"/>
        <v>4.513945303061623</v>
      </c>
      <c r="P11" s="19">
        <f>daysrun(A$7:B11,M$7:M11)</f>
        <v>0</v>
      </c>
      <c r="Q11" s="27">
        <f t="shared" si="2"/>
        <v>32.595</v>
      </c>
      <c r="R11" s="27">
        <f t="shared" si="3"/>
        <v>-65.391</v>
      </c>
      <c r="S11" s="20">
        <f t="shared" si="11"/>
        <v>17.514459947374455</v>
      </c>
      <c r="T11" s="19">
        <f t="shared" si="12"/>
        <v>0.990658217542974</v>
      </c>
      <c r="U11" s="48">
        <f t="shared" si="4"/>
        <v>294.8133432119494</v>
      </c>
      <c r="V11" s="48">
        <f t="shared" si="5"/>
        <v>568.7890728756199</v>
      </c>
      <c r="W11" s="49">
        <f t="shared" si="13"/>
        <v>39250.65098949943</v>
      </c>
      <c r="X11" s="13">
        <f t="shared" si="6"/>
        <v>32.99166666666666</v>
      </c>
      <c r="Y11" s="13">
        <f t="shared" si="7"/>
        <v>-65.65166666666669</v>
      </c>
    </row>
    <row r="12" spans="1:25" ht="18">
      <c r="A12" s="1">
        <v>39245</v>
      </c>
      <c r="B12" s="68">
        <v>1419</v>
      </c>
      <c r="C12" s="4">
        <v>33.186</v>
      </c>
      <c r="D12" s="4">
        <v>-65.591</v>
      </c>
      <c r="E12" s="5"/>
      <c r="F12" s="10">
        <v>315</v>
      </c>
      <c r="G12" s="12">
        <v>5</v>
      </c>
      <c r="H12" s="5" t="s">
        <v>125</v>
      </c>
      <c r="I12" s="68">
        <v>18</v>
      </c>
      <c r="J12" s="70" t="s">
        <v>126</v>
      </c>
      <c r="K12" s="48">
        <f t="shared" si="8"/>
        <v>318.624404331121</v>
      </c>
      <c r="L12" s="20">
        <f t="shared" si="9"/>
        <v>25.4533400423109</v>
      </c>
      <c r="M12" s="20">
        <f t="shared" si="10"/>
        <v>89.68666068597577</v>
      </c>
      <c r="N12" s="19">
        <f t="shared" si="0"/>
        <v>4.700000000128057</v>
      </c>
      <c r="O12" s="20">
        <f t="shared" si="1"/>
        <v>5.415604264173913</v>
      </c>
      <c r="P12" s="19">
        <f>daysrun(A$7:B12,M$7:M12)</f>
        <v>0</v>
      </c>
      <c r="Q12" s="27">
        <f t="shared" si="2"/>
        <v>33.186</v>
      </c>
      <c r="R12" s="27">
        <f t="shared" si="3"/>
        <v>-65.591</v>
      </c>
      <c r="S12" s="20">
        <f t="shared" si="11"/>
        <v>23.286796158848777</v>
      </c>
      <c r="T12" s="19">
        <f t="shared" si="12"/>
        <v>0.9148817451909772</v>
      </c>
      <c r="U12" s="48">
        <f t="shared" si="4"/>
        <v>293.7588196626691</v>
      </c>
      <c r="V12" s="48">
        <f t="shared" si="5"/>
        <v>545.0652002741376</v>
      </c>
      <c r="W12" s="49">
        <f t="shared" si="13"/>
        <v>39249.79015953217</v>
      </c>
      <c r="X12" s="13">
        <f t="shared" si="6"/>
        <v>33.309999999999995</v>
      </c>
      <c r="Y12" s="13">
        <f t="shared" si="7"/>
        <v>-65.98499999999999</v>
      </c>
    </row>
    <row r="13" spans="1:25" ht="18">
      <c r="A13" s="1">
        <v>39245</v>
      </c>
      <c r="B13" s="68">
        <v>1712</v>
      </c>
      <c r="C13" s="4">
        <v>33.307</v>
      </c>
      <c r="D13" s="4">
        <v>-66.133</v>
      </c>
      <c r="E13" s="5"/>
      <c r="F13" s="10">
        <v>315</v>
      </c>
      <c r="G13" s="12">
        <v>5</v>
      </c>
      <c r="H13" s="5" t="s">
        <v>122</v>
      </c>
      <c r="I13" s="68">
        <v>15</v>
      </c>
      <c r="J13" s="70" t="s">
        <v>127</v>
      </c>
      <c r="K13" s="48">
        <f t="shared" si="8"/>
        <v>315.45454850447396</v>
      </c>
      <c r="L13" s="20">
        <f t="shared" si="9"/>
        <v>16.977828431838674</v>
      </c>
      <c r="M13" s="20">
        <f t="shared" si="10"/>
        <v>106.66448911781444</v>
      </c>
      <c r="N13" s="19">
        <f t="shared" si="0"/>
        <v>2.8833333333022892</v>
      </c>
      <c r="O13" s="20">
        <f t="shared" si="1"/>
        <v>5.88826419607681</v>
      </c>
      <c r="P13" s="19">
        <f>daysrun(A$7:B13,M$7:M13)</f>
        <v>0</v>
      </c>
      <c r="Q13" s="27">
        <f t="shared" si="2"/>
        <v>33.307</v>
      </c>
      <c r="R13" s="27">
        <f t="shared" si="3"/>
        <v>-66.133</v>
      </c>
      <c r="S13" s="20">
        <f t="shared" si="11"/>
        <v>15.775121306976764</v>
      </c>
      <c r="T13" s="19">
        <f t="shared" si="12"/>
        <v>0.9291601320103776</v>
      </c>
      <c r="U13" s="48">
        <f t="shared" si="4"/>
        <v>293.0940363453919</v>
      </c>
      <c r="V13" s="48">
        <f t="shared" si="5"/>
        <v>529.0109955224844</v>
      </c>
      <c r="W13" s="49">
        <f t="shared" si="13"/>
        <v>39249.46006609296</v>
      </c>
      <c r="X13" s="13">
        <f t="shared" si="6"/>
        <v>33.51166666666668</v>
      </c>
      <c r="Y13" s="13">
        <f t="shared" si="7"/>
        <v>-66.22166666666666</v>
      </c>
    </row>
    <row r="14" spans="1:25" ht="18">
      <c r="A14" s="1">
        <v>39245</v>
      </c>
      <c r="B14" s="68">
        <v>2038</v>
      </c>
      <c r="C14" s="30">
        <v>33.407</v>
      </c>
      <c r="D14" s="30">
        <v>-66.266</v>
      </c>
      <c r="E14" s="5"/>
      <c r="F14" s="10">
        <v>270</v>
      </c>
      <c r="G14" s="12">
        <v>3.5</v>
      </c>
      <c r="H14" s="5">
        <v>0</v>
      </c>
      <c r="I14" s="68">
        <v>15</v>
      </c>
      <c r="J14" s="71" t="s">
        <v>128</v>
      </c>
      <c r="K14" s="48">
        <f t="shared" si="8"/>
        <v>311.93687753224714</v>
      </c>
      <c r="L14" s="20">
        <f t="shared" si="9"/>
        <v>14.963082747248968</v>
      </c>
      <c r="M14" s="20">
        <f t="shared" si="10"/>
        <v>121.6275718650634</v>
      </c>
      <c r="N14" s="19">
        <f t="shared" si="0"/>
        <v>3.4333333333488554</v>
      </c>
      <c r="O14" s="20">
        <f t="shared" si="1"/>
        <v>4.358179440926598</v>
      </c>
      <c r="P14" s="87">
        <f>daysrun(A$7:B14,M$7:M14)</f>
        <v>113.87757053648113</v>
      </c>
      <c r="Q14" s="27">
        <f t="shared" si="2"/>
        <v>33.407</v>
      </c>
      <c r="R14" s="27">
        <f t="shared" si="3"/>
        <v>-66.266</v>
      </c>
      <c r="S14" s="20">
        <f t="shared" si="11"/>
        <v>14.161181681700203</v>
      </c>
      <c r="T14" s="19">
        <f t="shared" si="12"/>
        <v>0.9464080310792775</v>
      </c>
      <c r="U14" s="48">
        <f t="shared" si="4"/>
        <v>292.56726856575614</v>
      </c>
      <c r="V14" s="48">
        <f t="shared" si="5"/>
        <v>514.6340337354296</v>
      </c>
      <c r="W14" s="49">
        <f t="shared" si="13"/>
        <v>39250.77991539684</v>
      </c>
      <c r="X14" s="13">
        <f t="shared" si="6"/>
        <v>33.67833333333333</v>
      </c>
      <c r="Y14" s="13">
        <f t="shared" si="7"/>
        <v>-66.44333333333334</v>
      </c>
    </row>
    <row r="15" spans="1:25" ht="36">
      <c r="A15" s="1">
        <v>39246</v>
      </c>
      <c r="B15" s="68">
        <v>313</v>
      </c>
      <c r="C15" s="4">
        <v>33.399</v>
      </c>
      <c r="D15" s="4">
        <v>-66.554</v>
      </c>
      <c r="E15" s="5"/>
      <c r="F15" s="10">
        <v>270</v>
      </c>
      <c r="G15" s="12">
        <v>4</v>
      </c>
      <c r="H15" s="5">
        <v>0</v>
      </c>
      <c r="I15" s="68">
        <v>9</v>
      </c>
      <c r="J15" s="71" t="s">
        <v>129</v>
      </c>
      <c r="K15" s="48">
        <f t="shared" si="8"/>
        <v>268.0972700441331</v>
      </c>
      <c r="L15" s="20">
        <f t="shared" si="9"/>
        <v>24.094354305516816</v>
      </c>
      <c r="M15" s="20">
        <f t="shared" si="10"/>
        <v>145.72192617058022</v>
      </c>
      <c r="N15" s="19">
        <f t="shared" si="0"/>
        <v>6.583333333313931</v>
      </c>
      <c r="O15" s="20">
        <f t="shared" si="1"/>
        <v>3.6599019198361256</v>
      </c>
      <c r="P15" s="19">
        <f>daysrun(A$7:B15,M$7:M15)</f>
        <v>114.24886964949464</v>
      </c>
      <c r="Q15" s="27">
        <f t="shared" si="2"/>
        <v>33.399</v>
      </c>
      <c r="R15" s="27">
        <f t="shared" si="3"/>
        <v>-66.554</v>
      </c>
      <c r="S15" s="20">
        <f t="shared" si="11"/>
        <v>21.930158193053668</v>
      </c>
      <c r="T15" s="19">
        <f t="shared" si="12"/>
        <v>0.9101782896930498</v>
      </c>
      <c r="U15" s="48">
        <f t="shared" si="4"/>
        <v>293.7033924482473</v>
      </c>
      <c r="V15" s="48">
        <f t="shared" si="5"/>
        <v>493.28113804539566</v>
      </c>
      <c r="W15" s="49">
        <f t="shared" si="13"/>
        <v>39251.749856071016</v>
      </c>
      <c r="X15" s="13">
        <f t="shared" si="6"/>
        <v>33.665</v>
      </c>
      <c r="Y15" s="13">
        <f t="shared" si="7"/>
        <v>-66.92333333333335</v>
      </c>
    </row>
    <row r="16" spans="1:25" ht="18">
      <c r="A16" s="1">
        <v>39246</v>
      </c>
      <c r="B16" s="68">
        <v>510</v>
      </c>
      <c r="C16" s="4">
        <v>33.406</v>
      </c>
      <c r="D16" s="4">
        <v>-67.048</v>
      </c>
      <c r="E16" s="5"/>
      <c r="F16" s="10">
        <v>270</v>
      </c>
      <c r="G16" s="12">
        <v>3</v>
      </c>
      <c r="H16" s="5">
        <v>0</v>
      </c>
      <c r="I16" s="68">
        <v>17</v>
      </c>
      <c r="J16" s="71" t="s">
        <v>123</v>
      </c>
      <c r="K16" s="48">
        <f t="shared" si="8"/>
        <v>275.08933437875163</v>
      </c>
      <c r="L16" s="20">
        <f t="shared" si="9"/>
        <v>7.890979838951117</v>
      </c>
      <c r="M16" s="20">
        <f t="shared" si="10"/>
        <v>153.61290600953134</v>
      </c>
      <c r="N16" s="19">
        <f t="shared" si="0"/>
        <v>1.9500000000698492</v>
      </c>
      <c r="O16" s="20">
        <f t="shared" si="1"/>
        <v>4.046656327522288</v>
      </c>
      <c r="P16" s="19">
        <f>daysrun(A$7:B16,M$7:M16)</f>
        <v>113.13237562087355</v>
      </c>
      <c r="Q16" s="27">
        <f t="shared" si="2"/>
        <v>33.406</v>
      </c>
      <c r="R16" s="27">
        <f t="shared" si="3"/>
        <v>-67.048</v>
      </c>
      <c r="S16" s="20">
        <f t="shared" si="11"/>
        <v>7.47820364433101</v>
      </c>
      <c r="T16" s="19">
        <f t="shared" si="12"/>
        <v>0.9476901217536282</v>
      </c>
      <c r="U16" s="48">
        <f t="shared" si="4"/>
        <v>293.994417039378</v>
      </c>
      <c r="V16" s="48">
        <f t="shared" si="5"/>
        <v>485.92439296774745</v>
      </c>
      <c r="W16" s="49">
        <f t="shared" si="13"/>
        <v>39251.218630686526</v>
      </c>
      <c r="X16" s="13">
        <f t="shared" si="6"/>
        <v>33.67666666666666</v>
      </c>
      <c r="Y16" s="13">
        <f t="shared" si="7"/>
        <v>-67.07999999999998</v>
      </c>
    </row>
    <row r="17" spans="1:25" ht="18">
      <c r="A17" s="1">
        <v>39246</v>
      </c>
      <c r="B17" s="68">
        <v>1310</v>
      </c>
      <c r="C17" s="4">
        <v>33.488</v>
      </c>
      <c r="D17" s="4">
        <v>-67.438</v>
      </c>
      <c r="E17" s="5"/>
      <c r="F17" s="10">
        <v>325</v>
      </c>
      <c r="G17" s="12">
        <v>3.5</v>
      </c>
      <c r="H17" s="5" t="s">
        <v>130</v>
      </c>
      <c r="I17" s="68">
        <v>20</v>
      </c>
      <c r="J17" s="71" t="s">
        <v>126</v>
      </c>
      <c r="K17" s="48">
        <f t="shared" si="8"/>
        <v>284.1265452971702</v>
      </c>
      <c r="L17" s="20">
        <f t="shared" si="9"/>
        <v>33.59769941522986</v>
      </c>
      <c r="M17" s="20">
        <f t="shared" si="10"/>
        <v>187.2106054247612</v>
      </c>
      <c r="N17" s="19">
        <f t="shared" si="0"/>
        <v>7.999999999883585</v>
      </c>
      <c r="O17" s="20">
        <f t="shared" si="1"/>
        <v>4.1997124269648465</v>
      </c>
      <c r="P17" s="19">
        <f>daysrun(A$7:B17,M$7:M17)</f>
        <v>107.13084699605531</v>
      </c>
      <c r="Q17" s="27">
        <f t="shared" si="2"/>
        <v>33.488</v>
      </c>
      <c r="R17" s="27">
        <f t="shared" si="3"/>
        <v>-67.438</v>
      </c>
      <c r="S17" s="20">
        <f t="shared" si="11"/>
        <v>33.10064092107099</v>
      </c>
      <c r="T17" s="19">
        <f t="shared" si="12"/>
        <v>0.9852055794649572</v>
      </c>
      <c r="U17" s="48">
        <f t="shared" si="4"/>
        <v>294.70791432241003</v>
      </c>
      <c r="V17" s="48">
        <f t="shared" si="5"/>
        <v>453.1181097255635</v>
      </c>
      <c r="W17" s="49">
        <f t="shared" si="13"/>
        <v>39251.044138261335</v>
      </c>
      <c r="X17" s="13">
        <f t="shared" si="6"/>
        <v>33.81333333333333</v>
      </c>
      <c r="Y17" s="13">
        <f t="shared" si="7"/>
        <v>-67.72999999999999</v>
      </c>
    </row>
    <row r="18" spans="1:25" ht="36">
      <c r="A18" s="1">
        <v>39246</v>
      </c>
      <c r="B18" s="68">
        <v>1819</v>
      </c>
      <c r="C18" s="4">
        <v>33.523</v>
      </c>
      <c r="D18" s="4">
        <v>-68.064</v>
      </c>
      <c r="E18" s="5"/>
      <c r="F18" s="10">
        <v>270</v>
      </c>
      <c r="G18" s="12">
        <v>4</v>
      </c>
      <c r="H18" s="5" t="s">
        <v>122</v>
      </c>
      <c r="I18" s="68">
        <v>20</v>
      </c>
      <c r="J18" s="71" t="s">
        <v>131</v>
      </c>
      <c r="K18" s="48">
        <f t="shared" si="8"/>
        <v>280.51379101660524</v>
      </c>
      <c r="L18" s="20">
        <f t="shared" si="9"/>
        <v>19.18100523648629</v>
      </c>
      <c r="M18" s="20">
        <f t="shared" si="10"/>
        <v>206.3916106612475</v>
      </c>
      <c r="N18" s="19">
        <f t="shared" si="0"/>
        <v>5.150000000023283</v>
      </c>
      <c r="O18" s="20">
        <f t="shared" si="1"/>
        <v>3.7244670361940915</v>
      </c>
      <c r="P18" s="87">
        <f>daysrun(A$7:B18,M$7:M18)</f>
        <v>95.29333445434568</v>
      </c>
      <c r="Q18" s="27">
        <f t="shared" si="2"/>
        <v>33.523</v>
      </c>
      <c r="R18" s="27">
        <f t="shared" si="3"/>
        <v>-68.064</v>
      </c>
      <c r="S18" s="20">
        <f t="shared" si="11"/>
        <v>18.595418840715556</v>
      </c>
      <c r="T18" s="19">
        <f t="shared" si="12"/>
        <v>0.9694705054009982</v>
      </c>
      <c r="U18" s="48">
        <f t="shared" si="4"/>
        <v>295.3158479414634</v>
      </c>
      <c r="V18" s="48">
        <f t="shared" si="5"/>
        <v>434.74405738314573</v>
      </c>
      <c r="W18" s="49">
        <f t="shared" si="13"/>
        <v>39251.626799236285</v>
      </c>
      <c r="X18" s="13">
        <f t="shared" si="6"/>
        <v>33.87166666666667</v>
      </c>
      <c r="Y18" s="13">
        <f t="shared" si="7"/>
        <v>-68.10666666666664</v>
      </c>
    </row>
    <row r="19" spans="1:25" ht="15">
      <c r="A19" s="6">
        <v>39246</v>
      </c>
      <c r="B19" s="68">
        <v>2026</v>
      </c>
      <c r="C19" s="4">
        <v>33.535</v>
      </c>
      <c r="D19" s="4">
        <v>-68.164</v>
      </c>
      <c r="E19" s="5"/>
      <c r="F19" s="10">
        <v>245</v>
      </c>
      <c r="G19" s="12">
        <v>3.5</v>
      </c>
      <c r="H19" s="5" t="s">
        <v>133</v>
      </c>
      <c r="I19" s="68">
        <v>17</v>
      </c>
      <c r="J19" s="110" t="s">
        <v>126</v>
      </c>
      <c r="K19" s="48">
        <f t="shared" si="8"/>
        <v>278.1870104624928</v>
      </c>
      <c r="L19" s="20">
        <f t="shared" si="9"/>
        <v>8.426697769431879</v>
      </c>
      <c r="M19" s="20">
        <f t="shared" si="10"/>
        <v>214.8183084306794</v>
      </c>
      <c r="N19" s="19">
        <f t="shared" si="0"/>
        <v>2.1166666667559184</v>
      </c>
      <c r="O19" s="20">
        <f t="shared" si="1"/>
        <v>3.9811170562566414</v>
      </c>
      <c r="P19" s="19">
        <f>daysrun(A$7:B19,M$7:M19)</f>
        <v>95.31303537954129</v>
      </c>
      <c r="Q19" s="27">
        <f t="shared" si="2"/>
        <v>33.535</v>
      </c>
      <c r="R19" s="27">
        <f t="shared" si="3"/>
        <v>-68.164</v>
      </c>
      <c r="S19" s="20">
        <f t="shared" si="11"/>
        <v>8.052930752379392</v>
      </c>
      <c r="T19" s="19">
        <f t="shared" si="12"/>
        <v>0.9556449006147653</v>
      </c>
      <c r="U19" s="48">
        <f t="shared" si="4"/>
        <v>295.64272056181386</v>
      </c>
      <c r="V19" s="48">
        <f t="shared" si="5"/>
        <v>426.79737754340374</v>
      </c>
      <c r="W19" s="49">
        <f t="shared" si="13"/>
        <v>39251.31828192746</v>
      </c>
      <c r="X19" s="13">
        <f t="shared" si="6"/>
        <v>33.89166666666666</v>
      </c>
      <c r="Y19" s="13">
        <f t="shared" si="7"/>
        <v>-68.27333333333334</v>
      </c>
    </row>
    <row r="20" spans="1:25" ht="15">
      <c r="A20" s="6">
        <v>39246</v>
      </c>
      <c r="B20" s="68">
        <v>2354</v>
      </c>
      <c r="C20" s="4">
        <v>33.459</v>
      </c>
      <c r="D20" s="4">
        <v>-68.317</v>
      </c>
      <c r="E20" s="5"/>
      <c r="F20" s="10">
        <v>270</v>
      </c>
      <c r="G20" s="12">
        <v>5</v>
      </c>
      <c r="H20" s="5" t="s">
        <v>134</v>
      </c>
      <c r="I20" s="68">
        <v>14</v>
      </c>
      <c r="J20" s="110" t="s">
        <v>135</v>
      </c>
      <c r="K20" s="48">
        <f t="shared" si="8"/>
        <v>239.24022257711937</v>
      </c>
      <c r="L20" s="20">
        <f t="shared" si="9"/>
        <v>14.860010833652362</v>
      </c>
      <c r="M20" s="20">
        <f t="shared" si="10"/>
        <v>229.67831926433175</v>
      </c>
      <c r="N20" s="19">
        <f t="shared" si="0"/>
        <v>3.46666666661622</v>
      </c>
      <c r="O20" s="20">
        <f t="shared" si="1"/>
        <v>4.2865415866928664</v>
      </c>
      <c r="P20" s="19">
        <f>daysrun(A$7:B20,M$7:M20)</f>
        <v>95.10579233188787</v>
      </c>
      <c r="Q20" s="27">
        <f t="shared" si="2"/>
        <v>33.459</v>
      </c>
      <c r="R20" s="27">
        <f t="shared" si="3"/>
        <v>-68.317</v>
      </c>
      <c r="S20" s="20">
        <f t="shared" si="11"/>
        <v>8.222864786500574</v>
      </c>
      <c r="T20" s="19">
        <f t="shared" si="12"/>
        <v>0.5533552349692009</v>
      </c>
      <c r="U20" s="48">
        <f t="shared" si="4"/>
        <v>297.30278427360656</v>
      </c>
      <c r="V20" s="48">
        <f t="shared" si="5"/>
        <v>419.2348927270447</v>
      </c>
      <c r="W20" s="49">
        <f t="shared" si="13"/>
        <v>39251.07094147751</v>
      </c>
      <c r="X20" s="13">
        <f t="shared" si="6"/>
        <v>33.765</v>
      </c>
      <c r="Y20" s="13">
        <f t="shared" si="7"/>
        <v>-68.52833333333332</v>
      </c>
    </row>
    <row r="21" spans="1:25" ht="15">
      <c r="A21" s="6">
        <v>39247</v>
      </c>
      <c r="B21" s="68">
        <v>330</v>
      </c>
      <c r="C21" s="4">
        <v>33.419</v>
      </c>
      <c r="D21" s="4">
        <v>-68.562</v>
      </c>
      <c r="E21" s="5"/>
      <c r="F21" s="10">
        <v>245</v>
      </c>
      <c r="G21" s="12">
        <v>4.5</v>
      </c>
      <c r="H21" s="5" t="s">
        <v>136</v>
      </c>
      <c r="I21" s="68">
        <v>10</v>
      </c>
      <c r="J21" s="110" t="s">
        <v>137</v>
      </c>
      <c r="K21" s="48">
        <f t="shared" si="8"/>
        <v>258.94390528882116</v>
      </c>
      <c r="L21" s="20">
        <f t="shared" si="9"/>
        <v>20.858324919489952</v>
      </c>
      <c r="M21" s="20">
        <f t="shared" si="10"/>
        <v>250.5366441838217</v>
      </c>
      <c r="N21" s="19">
        <f t="shared" si="0"/>
        <v>3.6000000000349246</v>
      </c>
      <c r="O21" s="20">
        <f t="shared" si="1"/>
        <v>5.793979144246555</v>
      </c>
      <c r="P21" s="19">
        <f>daysrun(A$7:B21,M$7:M21)</f>
        <v>103.59175973833506</v>
      </c>
      <c r="Q21" s="27">
        <f t="shared" si="2"/>
        <v>33.419</v>
      </c>
      <c r="R21" s="27">
        <f t="shared" si="3"/>
        <v>-68.562</v>
      </c>
      <c r="S21" s="20">
        <f t="shared" si="11"/>
        <v>16.355827116509534</v>
      </c>
      <c r="T21" s="19">
        <f t="shared" si="12"/>
        <v>0.7841390514166697</v>
      </c>
      <c r="U21" s="48">
        <f t="shared" si="4"/>
        <v>299.10498413922136</v>
      </c>
      <c r="V21" s="48">
        <f t="shared" si="5"/>
        <v>403.5678542035384</v>
      </c>
      <c r="W21" s="49">
        <f t="shared" si="13"/>
        <v>39250.04804040724</v>
      </c>
      <c r="X21" s="13">
        <f t="shared" si="6"/>
        <v>33.69833333333333</v>
      </c>
      <c r="Y21" s="13">
        <f t="shared" si="7"/>
        <v>-68.93666666666667</v>
      </c>
    </row>
    <row r="22" spans="1:25" ht="15">
      <c r="A22" s="6">
        <v>39247</v>
      </c>
      <c r="B22" s="68">
        <v>1115</v>
      </c>
      <c r="C22" s="4">
        <v>33.41</v>
      </c>
      <c r="D22" s="4">
        <v>-69.517</v>
      </c>
      <c r="E22" s="5"/>
      <c r="F22" s="10">
        <v>265</v>
      </c>
      <c r="G22" s="12">
        <v>4</v>
      </c>
      <c r="H22" s="5" t="s">
        <v>138</v>
      </c>
      <c r="I22" s="68">
        <v>8</v>
      </c>
      <c r="J22" s="110" t="s">
        <v>139</v>
      </c>
      <c r="K22" s="48">
        <f t="shared" si="8"/>
        <v>268.8886978781455</v>
      </c>
      <c r="L22" s="20">
        <f t="shared" si="9"/>
        <v>46.404514030966624</v>
      </c>
      <c r="M22" s="20">
        <f t="shared" si="10"/>
        <v>296.9411582147883</v>
      </c>
      <c r="N22" s="19">
        <f t="shared" si="0"/>
        <v>7.749999999941792</v>
      </c>
      <c r="O22" s="20">
        <f t="shared" si="1"/>
        <v>5.987679229847116</v>
      </c>
      <c r="P22" s="19">
        <f>daysrun(A$7:B22,M$7:M22)</f>
        <v>114.34497682886563</v>
      </c>
      <c r="Q22" s="27">
        <f t="shared" si="2"/>
        <v>33.41</v>
      </c>
      <c r="R22" s="27">
        <f t="shared" si="3"/>
        <v>-69.517</v>
      </c>
      <c r="S22" s="20">
        <f t="shared" si="11"/>
        <v>40.09961550378418</v>
      </c>
      <c r="T22" s="19">
        <f t="shared" si="12"/>
        <v>0.8641317841842915</v>
      </c>
      <c r="U22" s="48">
        <f t="shared" si="4"/>
        <v>302.70018315804253</v>
      </c>
      <c r="V22" s="48">
        <f t="shared" si="5"/>
        <v>365.02091864606024</v>
      </c>
      <c r="W22" s="49">
        <f t="shared" si="13"/>
        <v>39250.00883345467</v>
      </c>
      <c r="X22" s="13">
        <f t="shared" si="6"/>
        <v>33.68333333333333</v>
      </c>
      <c r="Y22" s="13">
        <f t="shared" si="7"/>
        <v>-69.86166666666665</v>
      </c>
    </row>
    <row r="23" spans="1:25" ht="15">
      <c r="A23" s="6">
        <v>39247</v>
      </c>
      <c r="B23" s="68">
        <v>1610</v>
      </c>
      <c r="C23" s="4">
        <v>33.429</v>
      </c>
      <c r="D23" s="4">
        <v>-70.153</v>
      </c>
      <c r="E23" s="5"/>
      <c r="F23" s="10">
        <v>285</v>
      </c>
      <c r="G23" s="12">
        <v>6</v>
      </c>
      <c r="H23" s="5" t="s">
        <v>140</v>
      </c>
      <c r="I23" s="68">
        <v>8</v>
      </c>
      <c r="J23" s="110" t="s">
        <v>141</v>
      </c>
      <c r="K23" s="48">
        <f t="shared" si="8"/>
        <v>275.50153170977</v>
      </c>
      <c r="L23" s="20">
        <f t="shared" si="9"/>
        <v>19.818015794318637</v>
      </c>
      <c r="M23" s="20">
        <f t="shared" si="10"/>
        <v>316.7591740091069</v>
      </c>
      <c r="N23" s="19">
        <f t="shared" si="0"/>
        <v>4.916666666627862</v>
      </c>
      <c r="O23" s="20">
        <f t="shared" si="1"/>
        <v>4.030782873452553</v>
      </c>
      <c r="P23" s="87">
        <f>daysrun(A$7:B23,M$7:M23)</f>
        <v>115.15428318608507</v>
      </c>
      <c r="Q23" s="27">
        <f t="shared" si="2"/>
        <v>33.429</v>
      </c>
      <c r="R23" s="27">
        <f t="shared" si="3"/>
        <v>-70.153</v>
      </c>
      <c r="S23" s="20">
        <f t="shared" si="11"/>
        <v>17.626680942082864</v>
      </c>
      <c r="T23" s="19">
        <f t="shared" si="12"/>
        <v>0.8894271316069907</v>
      </c>
      <c r="U23" s="48">
        <f t="shared" si="4"/>
        <v>304.1628228503683</v>
      </c>
      <c r="V23" s="48">
        <f t="shared" si="5"/>
        <v>347.78948182225406</v>
      </c>
      <c r="W23" s="49">
        <f t="shared" si="13"/>
        <v>39251.268751029136</v>
      </c>
      <c r="X23" s="13">
        <f t="shared" si="6"/>
        <v>33.715</v>
      </c>
      <c r="Y23" s="13">
        <f t="shared" si="7"/>
        <v>-70.255</v>
      </c>
    </row>
    <row r="24" spans="1:25" ht="15">
      <c r="A24" s="6">
        <v>39247</v>
      </c>
      <c r="B24" s="68">
        <v>2301</v>
      </c>
      <c r="C24" s="4">
        <v>33.513</v>
      </c>
      <c r="D24" s="4">
        <v>-71.017</v>
      </c>
      <c r="E24" s="5"/>
      <c r="F24" s="10">
        <v>280</v>
      </c>
      <c r="G24" s="12">
        <v>5.2</v>
      </c>
      <c r="H24" s="5" t="s">
        <v>124</v>
      </c>
      <c r="I24" s="68">
        <v>8</v>
      </c>
      <c r="J24" s="110" t="s">
        <v>142</v>
      </c>
      <c r="K24" s="48">
        <f t="shared" si="8"/>
        <v>282.2323612951362</v>
      </c>
      <c r="L24" s="20">
        <f t="shared" si="9"/>
        <v>39.64567749679891</v>
      </c>
      <c r="M24" s="20">
        <f t="shared" si="10"/>
        <v>356.4048515059058</v>
      </c>
      <c r="N24" s="19">
        <f t="shared" si="0"/>
        <v>6.849999999976717</v>
      </c>
      <c r="O24" s="20">
        <f t="shared" si="1"/>
        <v>5.787690145537762</v>
      </c>
      <c r="P24" s="19">
        <f>daysrun(A$7:B24,M$7:M24)</f>
        <v>127.8273492347133</v>
      </c>
      <c r="Q24" s="27">
        <f t="shared" si="2"/>
        <v>33.513</v>
      </c>
      <c r="R24" s="27">
        <f t="shared" si="3"/>
        <v>-71.017</v>
      </c>
      <c r="S24" s="20">
        <f t="shared" si="11"/>
        <v>36.776829931598854</v>
      </c>
      <c r="T24" s="19">
        <f t="shared" si="12"/>
        <v>0.9276378221703565</v>
      </c>
      <c r="U24" s="48">
        <f t="shared" si="4"/>
        <v>306.8308735441648</v>
      </c>
      <c r="V24" s="48">
        <f t="shared" si="5"/>
        <v>311.7832126337905</v>
      </c>
      <c r="W24" s="49">
        <f t="shared" si="13"/>
        <v>39250.203613591184</v>
      </c>
      <c r="X24" s="13">
        <f t="shared" si="6"/>
        <v>33.855000000000004</v>
      </c>
      <c r="Y24" s="13">
        <f t="shared" si="7"/>
        <v>-71.02833333333332</v>
      </c>
    </row>
    <row r="25" spans="1:25" ht="15">
      <c r="A25" s="6">
        <v>39248</v>
      </c>
      <c r="B25" s="68">
        <v>548</v>
      </c>
      <c r="C25" s="4">
        <v>33.512</v>
      </c>
      <c r="D25" s="4">
        <v>-71.431</v>
      </c>
      <c r="E25" s="5"/>
      <c r="F25" s="10">
        <v>270</v>
      </c>
      <c r="G25" s="12">
        <v>5.2</v>
      </c>
      <c r="H25" s="5" t="s">
        <v>144</v>
      </c>
      <c r="I25" s="68">
        <v>7</v>
      </c>
      <c r="J25" s="110" t="s">
        <v>123</v>
      </c>
      <c r="K25" s="48">
        <f t="shared" si="8"/>
        <v>269.83412870078485</v>
      </c>
      <c r="L25" s="20">
        <f t="shared" si="9"/>
        <v>34.54235893557135</v>
      </c>
      <c r="M25" s="20">
        <f t="shared" si="10"/>
        <v>390.9472104414772</v>
      </c>
      <c r="N25" s="19">
        <f t="shared" si="0"/>
        <v>6.783333333441988</v>
      </c>
      <c r="O25" s="20">
        <f>IF(N25&gt;0,L25/N25,NA())</f>
        <v>5.092239646440008</v>
      </c>
      <c r="P25" s="19">
        <f>daysrun(A$7:B25,M$7:M25)</f>
        <v>128.1313152161682</v>
      </c>
      <c r="Q25" s="27">
        <f t="shared" si="2"/>
        <v>33.512</v>
      </c>
      <c r="R25" s="27">
        <f t="shared" si="3"/>
        <v>-71.431</v>
      </c>
      <c r="S25" s="20">
        <f t="shared" si="11"/>
        <v>27.587935441320823</v>
      </c>
      <c r="T25" s="19">
        <f t="shared" si="12"/>
        <v>0.7986696997960687</v>
      </c>
      <c r="U25" s="48">
        <f t="shared" si="4"/>
        <v>310.9272788910995</v>
      </c>
      <c r="V25" s="48">
        <f t="shared" si="5"/>
        <v>285.45233850252043</v>
      </c>
      <c r="W25" s="49">
        <f t="shared" si="13"/>
        <v>39250.57734767609</v>
      </c>
      <c r="X25" s="13">
        <f t="shared" si="6"/>
        <v>33.85333333333334</v>
      </c>
      <c r="Y25" s="13">
        <f t="shared" si="7"/>
        <v>-71.71833333333332</v>
      </c>
    </row>
    <row r="26" spans="1:25" ht="15">
      <c r="A26" s="6">
        <v>39248</v>
      </c>
      <c r="B26" s="68">
        <v>1108</v>
      </c>
      <c r="C26" s="4">
        <v>34.002</v>
      </c>
      <c r="D26" s="4">
        <v>-72.148</v>
      </c>
      <c r="E26" s="5"/>
      <c r="F26" s="10">
        <v>310</v>
      </c>
      <c r="G26" s="12">
        <v>5.5</v>
      </c>
      <c r="H26" s="5" t="s">
        <v>138</v>
      </c>
      <c r="I26" s="68">
        <v>12</v>
      </c>
      <c r="J26" s="110" t="s">
        <v>126</v>
      </c>
      <c r="K26" s="48">
        <f t="shared" si="8"/>
        <v>288.80764255834504</v>
      </c>
      <c r="L26" s="20">
        <f t="shared" si="9"/>
        <v>27.916328599013408</v>
      </c>
      <c r="M26" s="20">
        <f t="shared" si="10"/>
        <v>418.8635390404906</v>
      </c>
      <c r="N26" s="19">
        <f t="shared" si="0"/>
        <v>5.333333333255723</v>
      </c>
      <c r="O26" s="20">
        <f t="shared" si="1"/>
        <v>5.234311612391183</v>
      </c>
      <c r="P26" s="107">
        <f>daysrun(A$7:B26,M$7:M26)</f>
        <v>127.70849767876032</v>
      </c>
      <c r="Q26" s="27">
        <f t="shared" si="2"/>
        <v>34.002</v>
      </c>
      <c r="R26" s="27">
        <f t="shared" si="3"/>
        <v>-72.148</v>
      </c>
      <c r="S26" s="20">
        <f t="shared" si="11"/>
        <v>25.86167669127406</v>
      </c>
      <c r="T26" s="19">
        <f t="shared" si="12"/>
        <v>0.9263996373859863</v>
      </c>
      <c r="U26" s="48">
        <f t="shared" si="4"/>
        <v>313.19994369880334</v>
      </c>
      <c r="V26" s="48">
        <f t="shared" si="5"/>
        <v>260.02620523708407</v>
      </c>
      <c r="W26" s="49">
        <f t="shared" si="13"/>
        <v>39250.53377429513</v>
      </c>
      <c r="X26" s="13">
        <f t="shared" si="6"/>
        <v>34.00333333333334</v>
      </c>
      <c r="Y26" s="13">
        <f t="shared" si="7"/>
        <v>-72.24666666666666</v>
      </c>
    </row>
    <row r="27" spans="1:25" ht="15">
      <c r="A27" s="6">
        <v>39248</v>
      </c>
      <c r="B27" s="68">
        <v>1610</v>
      </c>
      <c r="C27" s="4">
        <v>34.21</v>
      </c>
      <c r="D27" s="4">
        <v>-72.439</v>
      </c>
      <c r="E27" s="5"/>
      <c r="F27" s="10">
        <v>320</v>
      </c>
      <c r="G27" s="12">
        <v>6.2</v>
      </c>
      <c r="H27" s="5" t="s">
        <v>144</v>
      </c>
      <c r="I27" s="68">
        <v>14</v>
      </c>
      <c r="J27" s="110" t="s">
        <v>151</v>
      </c>
      <c r="K27" s="48">
        <f t="shared" si="8"/>
        <v>310.6947853191303</v>
      </c>
      <c r="L27" s="20">
        <f t="shared" si="9"/>
        <v>31.900401998751914</v>
      </c>
      <c r="M27" s="20">
        <f t="shared" si="10"/>
        <v>450.7639410392425</v>
      </c>
      <c r="N27" s="19">
        <f t="shared" si="0"/>
        <v>5.033333333325572</v>
      </c>
      <c r="O27" s="20">
        <f t="shared" si="1"/>
        <v>6.337828211682338</v>
      </c>
      <c r="P27" s="87">
        <f>daysrun(A$7:B27,M$7:M27)</f>
        <v>134.0047670301356</v>
      </c>
      <c r="Q27" s="27">
        <f t="shared" si="2"/>
        <v>34.21</v>
      </c>
      <c r="R27" s="27">
        <f t="shared" si="3"/>
        <v>-72.439</v>
      </c>
      <c r="S27" s="20">
        <f t="shared" si="11"/>
        <v>31.869914479867237</v>
      </c>
      <c r="T27" s="19">
        <f t="shared" si="12"/>
        <v>0.9990442904485696</v>
      </c>
      <c r="U27" s="48">
        <f t="shared" si="4"/>
        <v>313.5436649401617</v>
      </c>
      <c r="V27" s="48">
        <f t="shared" si="5"/>
        <v>228.18748919148493</v>
      </c>
      <c r="W27" s="49">
        <f t="shared" si="13"/>
        <v>39250.173779896395</v>
      </c>
      <c r="X27" s="13">
        <f t="shared" si="6"/>
        <v>34.35</v>
      </c>
      <c r="Y27" s="13">
        <f t="shared" si="7"/>
        <v>-72.73166666666664</v>
      </c>
    </row>
    <row r="28" spans="1:25" ht="15">
      <c r="A28" s="6">
        <v>39248</v>
      </c>
      <c r="B28" s="68">
        <v>1814</v>
      </c>
      <c r="C28" s="4">
        <v>34.305</v>
      </c>
      <c r="D28" s="4">
        <v>-72.535</v>
      </c>
      <c r="E28" s="5"/>
      <c r="F28" s="10">
        <v>320</v>
      </c>
      <c r="G28" s="12">
        <v>6</v>
      </c>
      <c r="H28" s="5" t="s">
        <v>144</v>
      </c>
      <c r="I28" s="68">
        <v>12</v>
      </c>
      <c r="J28" s="111" t="s">
        <v>153</v>
      </c>
      <c r="K28" s="48">
        <f t="shared" si="8"/>
        <v>320.05841703756914</v>
      </c>
      <c r="L28" s="20">
        <f t="shared" si="9"/>
        <v>12.39077512844267</v>
      </c>
      <c r="M28" s="20">
        <f t="shared" si="10"/>
        <v>463.1547161676852</v>
      </c>
      <c r="N28" s="19">
        <f t="shared" si="0"/>
        <v>2.06666666676756</v>
      </c>
      <c r="O28" s="20">
        <f t="shared" si="1"/>
        <v>5.9955363521795615</v>
      </c>
      <c r="P28" s="19">
        <f>daysrun(A$7:B28,M$7:M28)</f>
        <v>134.7887344677345</v>
      </c>
      <c r="Q28" s="27">
        <f t="shared" si="2"/>
        <v>34.305</v>
      </c>
      <c r="R28" s="27">
        <f t="shared" si="3"/>
        <v>-72.535</v>
      </c>
      <c r="S28" s="20">
        <f t="shared" si="11"/>
        <v>12.310763878951539</v>
      </c>
      <c r="T28" s="19">
        <f t="shared" si="12"/>
        <v>0.9935426760100369</v>
      </c>
      <c r="U28" s="48">
        <f t="shared" si="4"/>
        <v>313.176560206641</v>
      </c>
      <c r="V28" s="48">
        <f t="shared" si="5"/>
        <v>215.8571477102483</v>
      </c>
      <c r="W28" s="49">
        <f t="shared" si="13"/>
        <v>39250.25984619662</v>
      </c>
      <c r="X28" s="13">
        <f t="shared" si="6"/>
        <v>34.50833333333334</v>
      </c>
      <c r="Y28" s="13">
        <f t="shared" si="7"/>
        <v>-72.89166666666667</v>
      </c>
    </row>
    <row r="29" spans="1:25" ht="15">
      <c r="A29" s="6">
        <v>39248</v>
      </c>
      <c r="B29" s="68">
        <v>2350</v>
      </c>
      <c r="C29" s="4">
        <v>34.509</v>
      </c>
      <c r="D29" s="4">
        <v>-73.166</v>
      </c>
      <c r="E29" s="12"/>
      <c r="F29" s="10">
        <v>320</v>
      </c>
      <c r="G29" s="12">
        <v>5.5</v>
      </c>
      <c r="H29" s="5" t="s">
        <v>154</v>
      </c>
      <c r="I29" s="68">
        <v>8</v>
      </c>
      <c r="J29" s="111" t="s">
        <v>155</v>
      </c>
      <c r="K29" s="48">
        <f t="shared" si="8"/>
        <v>316.9092597928412</v>
      </c>
      <c r="L29" s="20">
        <f t="shared" si="9"/>
        <v>27.934770365404255</v>
      </c>
      <c r="M29" s="20">
        <f t="shared" si="10"/>
        <v>491.0894865330894</v>
      </c>
      <c r="N29" s="19">
        <f t="shared" si="0"/>
        <v>5.599999999918509</v>
      </c>
      <c r="O29" s="20">
        <f t="shared" si="1"/>
        <v>4.988351851037636</v>
      </c>
      <c r="P29" s="19">
        <f>daysrun(A$7:B29,M$7:M29)</f>
        <v>130.25243414292197</v>
      </c>
      <c r="Q29" s="27">
        <f t="shared" si="2"/>
        <v>34.509</v>
      </c>
      <c r="R29" s="27">
        <f t="shared" si="3"/>
        <v>-73.166</v>
      </c>
      <c r="S29" s="20">
        <f t="shared" si="11"/>
        <v>27.875510274622883</v>
      </c>
      <c r="T29" s="19">
        <f t="shared" si="12"/>
        <v>0.997878626170675</v>
      </c>
      <c r="U29" s="48">
        <f t="shared" si="4"/>
        <v>312.630693345049</v>
      </c>
      <c r="V29" s="48">
        <f t="shared" si="5"/>
        <v>187.96043300986022</v>
      </c>
      <c r="W29" s="49">
        <f t="shared" si="13"/>
        <v>39250.56305000314</v>
      </c>
      <c r="X29" s="13">
        <f t="shared" si="6"/>
        <v>34.848333333333336</v>
      </c>
      <c r="Y29" s="13">
        <f t="shared" si="7"/>
        <v>-73.27666666666667</v>
      </c>
    </row>
    <row r="30" spans="1:25" ht="15">
      <c r="A30" s="6">
        <v>39249</v>
      </c>
      <c r="B30" s="68">
        <v>523</v>
      </c>
      <c r="C30" s="4">
        <v>35.135</v>
      </c>
      <c r="D30" s="4">
        <v>-73.41</v>
      </c>
      <c r="E30" s="12"/>
      <c r="F30" s="10">
        <v>320</v>
      </c>
      <c r="G30" s="12">
        <v>5</v>
      </c>
      <c r="H30" s="5" t="s">
        <v>140</v>
      </c>
      <c r="I30" s="68">
        <v>14</v>
      </c>
      <c r="J30" s="111" t="s">
        <v>123</v>
      </c>
      <c r="K30" s="48">
        <f t="shared" si="8"/>
        <v>318.3941475933303</v>
      </c>
      <c r="L30" s="20">
        <f t="shared" si="9"/>
        <v>30.22480282846013</v>
      </c>
      <c r="M30" s="20">
        <f t="shared" si="10"/>
        <v>521.3142893615495</v>
      </c>
      <c r="N30" s="19">
        <f t="shared" si="0"/>
        <v>5.550000000104774</v>
      </c>
      <c r="O30" s="20">
        <f t="shared" si="1"/>
        <v>5.445910419439557</v>
      </c>
      <c r="P30" s="19">
        <f>daysrun(A$7:B30,M$7:M30)</f>
        <v>130.33457217945875</v>
      </c>
      <c r="Q30" s="27">
        <f aca="true" t="shared" si="14" ref="Q30:Q37">IF(ISBLANK($B30),NA(),IF(ISBLANK(C30),mlat(Q29,F30,E30-E29),C30))</f>
        <v>35.135</v>
      </c>
      <c r="R30" s="27">
        <f aca="true" t="shared" si="15" ref="R30:R37">IF(ISBLANK($B30),NA(),IF(ISBLANK(D30),mlon(Q29,R29,F30,E30-E29,Q30),D30))</f>
        <v>-73.41</v>
      </c>
      <c r="S30" s="20">
        <f t="shared" si="11"/>
        <v>30.072015379162146</v>
      </c>
      <c r="T30" s="19">
        <f t="shared" si="12"/>
        <v>0.9949449645655217</v>
      </c>
      <c r="U30" s="48">
        <f t="shared" si="4"/>
        <v>311.54377409025346</v>
      </c>
      <c r="V30" s="48">
        <f t="shared" si="5"/>
        <v>157.87281929388905</v>
      </c>
      <c r="W30" s="49">
        <f t="shared" si="13"/>
        <v>39250.43219067129</v>
      </c>
      <c r="X30" s="13">
        <f t="shared" si="6"/>
        <v>35.224999999999994</v>
      </c>
      <c r="Y30" s="13">
        <f t="shared" si="7"/>
        <v>-73.68333333333332</v>
      </c>
    </row>
    <row r="31" spans="1:25" ht="15">
      <c r="A31" s="6">
        <v>39249</v>
      </c>
      <c r="B31" s="68">
        <v>600</v>
      </c>
      <c r="C31" s="4">
        <v>35.157</v>
      </c>
      <c r="D31" s="4">
        <v>-73.438</v>
      </c>
      <c r="E31" s="12"/>
      <c r="F31" s="10">
        <v>310</v>
      </c>
      <c r="G31" s="12">
        <v>5</v>
      </c>
      <c r="H31" s="5" t="s">
        <v>140</v>
      </c>
      <c r="I31" s="68">
        <v>14</v>
      </c>
      <c r="J31" s="111" t="s">
        <v>156</v>
      </c>
      <c r="K31" s="48">
        <f t="shared" si="8"/>
        <v>313.76238874589944</v>
      </c>
      <c r="L31" s="20">
        <f t="shared" si="9"/>
        <v>3.180711093038507</v>
      </c>
      <c r="M31" s="20">
        <f t="shared" si="10"/>
        <v>524.4950004545881</v>
      </c>
      <c r="N31" s="19">
        <f t="shared" si="0"/>
        <v>0.6166666665812954</v>
      </c>
      <c r="O31" s="20">
        <f t="shared" si="1"/>
        <v>5.157909881317045</v>
      </c>
      <c r="P31" s="19">
        <f>daysrun(A$7:B31,M$7:M31)</f>
        <v>132.44408926945573</v>
      </c>
      <c r="Q31" s="27">
        <f t="shared" si="14"/>
        <v>35.157</v>
      </c>
      <c r="R31" s="27">
        <f t="shared" si="15"/>
        <v>-73.438</v>
      </c>
      <c r="S31" s="20">
        <f t="shared" si="11"/>
        <v>3.1783268064705217</v>
      </c>
      <c r="T31" s="19">
        <f t="shared" si="12"/>
        <v>0.9992503919726617</v>
      </c>
      <c r="U31" s="48">
        <f t="shared" si="4"/>
        <v>311.49867143556037</v>
      </c>
      <c r="V31" s="48">
        <f t="shared" si="5"/>
        <v>154.693005144284</v>
      </c>
      <c r="W31" s="49">
        <f t="shared" si="13"/>
        <v>39250.49964220572</v>
      </c>
      <c r="X31" s="13">
        <f t="shared" si="6"/>
        <v>35.26166666666666</v>
      </c>
      <c r="Y31" s="13">
        <f t="shared" si="7"/>
        <v>-73.72999999999999</v>
      </c>
    </row>
    <row r="32" spans="1:25" ht="15">
      <c r="A32" s="6">
        <v>39249</v>
      </c>
      <c r="B32" s="68">
        <v>1125</v>
      </c>
      <c r="C32" s="4">
        <v>35.283</v>
      </c>
      <c r="D32" s="4">
        <v>-74.058</v>
      </c>
      <c r="E32" s="12"/>
      <c r="F32" s="10">
        <v>270</v>
      </c>
      <c r="G32" s="12">
        <v>5</v>
      </c>
      <c r="H32" s="5" t="s">
        <v>157</v>
      </c>
      <c r="I32" s="68">
        <v>20</v>
      </c>
      <c r="J32" s="111" t="s">
        <v>158</v>
      </c>
      <c r="K32" s="48">
        <f t="shared" si="8"/>
        <v>304.96016785852936</v>
      </c>
      <c r="L32" s="20">
        <f t="shared" si="9"/>
        <v>21.98926701081552</v>
      </c>
      <c r="M32" s="20">
        <f t="shared" si="10"/>
        <v>546.4842674654036</v>
      </c>
      <c r="N32" s="19">
        <f t="shared" si="0"/>
        <v>5.416666666686069</v>
      </c>
      <c r="O32" s="20">
        <f t="shared" si="1"/>
        <v>4.0595569865975545</v>
      </c>
      <c r="P32" s="19">
        <f>daysrun(A$7:B32,M$7:M32)</f>
        <v>126.1316739406266</v>
      </c>
      <c r="Q32" s="27">
        <f t="shared" si="14"/>
        <v>35.283</v>
      </c>
      <c r="R32" s="27">
        <f t="shared" si="15"/>
        <v>-74.058</v>
      </c>
      <c r="S32" s="20">
        <f t="shared" si="11"/>
        <v>21.846239080580464</v>
      </c>
      <c r="T32" s="19">
        <f t="shared" si="12"/>
        <v>0.9934955571659252</v>
      </c>
      <c r="U32" s="48">
        <f t="shared" si="4"/>
        <v>312.56651779561435</v>
      </c>
      <c r="V32" s="48">
        <f t="shared" si="5"/>
        <v>132.90054222720286</v>
      </c>
      <c r="W32" s="49">
        <f t="shared" si="13"/>
        <v>39250.83976510809</v>
      </c>
      <c r="X32" s="13">
        <f t="shared" si="6"/>
        <v>35.47166666666667</v>
      </c>
      <c r="Y32" s="13">
        <f t="shared" si="7"/>
        <v>-74.09666666666668</v>
      </c>
    </row>
    <row r="33" spans="1:25" ht="15">
      <c r="A33" s="6">
        <v>39249</v>
      </c>
      <c r="B33" s="68">
        <v>1413</v>
      </c>
      <c r="C33" s="4">
        <v>35.332</v>
      </c>
      <c r="D33" s="4">
        <v>-74.23</v>
      </c>
      <c r="E33" s="12"/>
      <c r="F33" s="10">
        <v>340</v>
      </c>
      <c r="G33" s="12">
        <v>5</v>
      </c>
      <c r="H33" s="5"/>
      <c r="I33" s="68"/>
      <c r="J33" s="111" t="s">
        <v>159</v>
      </c>
      <c r="K33" s="48">
        <f t="shared" si="8"/>
        <v>289.20911727543364</v>
      </c>
      <c r="L33" s="20">
        <f t="shared" si="9"/>
        <v>14.892851200208561</v>
      </c>
      <c r="M33" s="20">
        <f t="shared" si="10"/>
        <v>561.3771186656122</v>
      </c>
      <c r="N33" s="19">
        <f t="shared" si="0"/>
        <v>2.800000000046566</v>
      </c>
      <c r="O33" s="20">
        <f t="shared" si="1"/>
        <v>5.318875428557457</v>
      </c>
      <c r="P33" s="19">
        <f>daysrun(A$7:B33,M$7:M33)</f>
        <v>126.28895671350156</v>
      </c>
      <c r="Q33" s="27">
        <f t="shared" si="14"/>
        <v>35.332</v>
      </c>
      <c r="R33" s="27">
        <f t="shared" si="15"/>
        <v>-74.23</v>
      </c>
      <c r="S33" s="20">
        <f t="shared" si="11"/>
        <v>13.672376860424992</v>
      </c>
      <c r="T33" s="19">
        <f t="shared" si="12"/>
        <v>0.9180496519184669</v>
      </c>
      <c r="U33" s="48">
        <f t="shared" si="4"/>
        <v>315.37316154958046</v>
      </c>
      <c r="V33" s="48">
        <f t="shared" si="5"/>
        <v>119.43283748276478</v>
      </c>
      <c r="W33" s="49">
        <f t="shared" si="13"/>
        <v>39250.52796644636</v>
      </c>
      <c r="X33" s="13">
        <f t="shared" si="6"/>
        <v>35.553333333333335</v>
      </c>
      <c r="Y33" s="13">
        <f t="shared" si="7"/>
        <v>-74.38333333333334</v>
      </c>
    </row>
    <row r="34" spans="1:25" ht="15">
      <c r="A34" s="6">
        <v>39249</v>
      </c>
      <c r="B34" s="68">
        <v>2201</v>
      </c>
      <c r="C34" s="4">
        <v>36.069</v>
      </c>
      <c r="D34" s="4">
        <v>-74.561</v>
      </c>
      <c r="E34" s="12"/>
      <c r="F34" s="10">
        <v>315</v>
      </c>
      <c r="G34" s="12">
        <v>6</v>
      </c>
      <c r="H34" s="5"/>
      <c r="I34" s="68"/>
      <c r="J34" s="111" t="s">
        <v>160</v>
      </c>
      <c r="K34" s="48">
        <f t="shared" si="8"/>
        <v>321.3460456077818</v>
      </c>
      <c r="L34" s="20">
        <f t="shared" si="9"/>
        <v>43.15353041744542</v>
      </c>
      <c r="M34" s="20">
        <f t="shared" si="10"/>
        <v>604.5306490830576</v>
      </c>
      <c r="N34" s="19">
        <f t="shared" si="0"/>
        <v>7.799999999930151</v>
      </c>
      <c r="O34" s="20">
        <f t="shared" si="1"/>
        <v>5.532503899722033</v>
      </c>
      <c r="P34" s="87">
        <f>daysrun(A$7:B34,M$7:M34)</f>
        <v>122.1243811629392</v>
      </c>
      <c r="Q34" s="27">
        <f t="shared" si="14"/>
        <v>36.069</v>
      </c>
      <c r="R34" s="27">
        <f t="shared" si="15"/>
        <v>-74.561</v>
      </c>
      <c r="S34" s="20">
        <f t="shared" si="11"/>
        <v>42.91926083545353</v>
      </c>
      <c r="T34" s="19">
        <f t="shared" si="12"/>
        <v>0.994571253389336</v>
      </c>
      <c r="U34" s="48">
        <f t="shared" si="4"/>
        <v>312.04314184638685</v>
      </c>
      <c r="V34" s="48">
        <f t="shared" si="5"/>
        <v>76.60260942440206</v>
      </c>
      <c r="W34" s="49">
        <f t="shared" si="13"/>
        <v>39250.49427446726</v>
      </c>
      <c r="X34" s="13">
        <f t="shared" si="6"/>
        <v>36.115</v>
      </c>
      <c r="Y34" s="13">
        <f t="shared" si="7"/>
        <v>-74.93500000000002</v>
      </c>
    </row>
    <row r="35" spans="1:25" ht="15">
      <c r="A35" s="6">
        <v>39250</v>
      </c>
      <c r="B35" s="68">
        <v>410</v>
      </c>
      <c r="C35" s="4">
        <v>36.348</v>
      </c>
      <c r="D35" s="4">
        <v>-75.292</v>
      </c>
      <c r="E35" s="12"/>
      <c r="F35" s="9">
        <v>315</v>
      </c>
      <c r="G35" s="11">
        <v>5.5</v>
      </c>
      <c r="H35" s="3"/>
      <c r="I35" s="83"/>
      <c r="J35" s="111"/>
      <c r="K35" s="48">
        <f t="shared" si="8"/>
        <v>316.1761955568153</v>
      </c>
      <c r="L35" s="20">
        <f t="shared" si="9"/>
        <v>38.6709070425986</v>
      </c>
      <c r="M35" s="20">
        <f t="shared" si="10"/>
        <v>643.2015561256562</v>
      </c>
      <c r="N35" s="19">
        <f t="shared" si="0"/>
        <v>6.149999999965075</v>
      </c>
      <c r="O35" s="20">
        <f t="shared" si="1"/>
        <v>6.287952364685887</v>
      </c>
      <c r="P35" s="107">
        <f>daysrun(A$7:B35,M$7:M35)</f>
        <v>128.84787071379188</v>
      </c>
      <c r="Q35" s="27">
        <f t="shared" si="14"/>
        <v>36.348</v>
      </c>
      <c r="R35" s="27">
        <f t="shared" si="15"/>
        <v>-75.292</v>
      </c>
      <c r="S35" s="20">
        <f t="shared" si="11"/>
        <v>38.57033833551514</v>
      </c>
      <c r="T35" s="19">
        <f t="shared" si="12"/>
        <v>0.9973993703594105</v>
      </c>
      <c r="U35" s="48">
        <f t="shared" si="4"/>
        <v>307.8731844095371</v>
      </c>
      <c r="V35" s="48">
        <f t="shared" si="5"/>
        <v>38.115974585959364</v>
      </c>
      <c r="W35" s="49">
        <f t="shared" si="13"/>
        <v>39250.42618389087</v>
      </c>
      <c r="X35" s="13">
        <f t="shared" si="6"/>
        <v>36.58</v>
      </c>
      <c r="Y35" s="13">
        <f t="shared" si="7"/>
        <v>-75.48666666666666</v>
      </c>
    </row>
    <row r="36" spans="1:25" ht="15">
      <c r="A36" s="6">
        <v>39250</v>
      </c>
      <c r="B36" s="83">
        <v>1045</v>
      </c>
      <c r="C36" s="2">
        <v>36.563</v>
      </c>
      <c r="D36" s="2">
        <v>-75.592</v>
      </c>
      <c r="E36" s="11"/>
      <c r="F36" s="9">
        <v>290</v>
      </c>
      <c r="G36" s="11">
        <v>3.5</v>
      </c>
      <c r="H36" s="3"/>
      <c r="I36" s="83"/>
      <c r="J36" s="111" t="s">
        <v>161</v>
      </c>
      <c r="K36" s="48">
        <f t="shared" si="8"/>
        <v>311.69002301208326</v>
      </c>
      <c r="L36" s="20">
        <f t="shared" si="9"/>
        <v>32.32594990816807</v>
      </c>
      <c r="M36" s="20">
        <f t="shared" si="10"/>
        <v>675.5275060338242</v>
      </c>
      <c r="N36" s="19">
        <f t="shared" si="0"/>
        <v>6.583333333313931</v>
      </c>
      <c r="O36" s="20">
        <f t="shared" si="1"/>
        <v>4.910270872141267</v>
      </c>
      <c r="P36" s="19">
        <f>daysrun(A$7:B36,M$7:M36)</f>
        <v>126.07930900553066</v>
      </c>
      <c r="Q36" s="27">
        <f t="shared" si="14"/>
        <v>36.563</v>
      </c>
      <c r="R36" s="27">
        <f t="shared" si="15"/>
        <v>-75.592</v>
      </c>
      <c r="S36" s="20">
        <f t="shared" si="11"/>
        <v>32.254249271223266</v>
      </c>
      <c r="T36" s="19">
        <f t="shared" si="12"/>
        <v>0.9977819480278695</v>
      </c>
      <c r="U36" s="48">
        <f t="shared" si="4"/>
        <v>287.74009478547896</v>
      </c>
      <c r="V36" s="48">
        <f t="shared" si="5"/>
        <v>6.23564886716292</v>
      </c>
      <c r="W36" s="49">
        <f t="shared" si="13"/>
        <v>39250.50082998032</v>
      </c>
      <c r="X36" s="13">
        <f t="shared" si="6"/>
        <v>36.93833333333333</v>
      </c>
      <c r="Y36" s="13">
        <f t="shared" si="7"/>
        <v>-75.98666666666666</v>
      </c>
    </row>
    <row r="37" spans="1:25" ht="15">
      <c r="A37" s="6">
        <v>39250</v>
      </c>
      <c r="B37" s="83">
        <v>1211</v>
      </c>
      <c r="C37" s="2">
        <v>36.582</v>
      </c>
      <c r="D37" s="2">
        <v>-76.066</v>
      </c>
      <c r="E37" s="11"/>
      <c r="F37" s="9">
        <v>275</v>
      </c>
      <c r="G37" s="11">
        <v>5.5</v>
      </c>
      <c r="H37" s="3"/>
      <c r="I37" s="83"/>
      <c r="J37" s="111" t="s">
        <v>162</v>
      </c>
      <c r="K37" s="48">
        <f t="shared" si="8"/>
        <v>287.74009478547896</v>
      </c>
      <c r="L37" s="20">
        <f t="shared" si="9"/>
        <v>6.23564886716292</v>
      </c>
      <c r="M37" s="20">
        <f t="shared" si="10"/>
        <v>681.7631549009872</v>
      </c>
      <c r="N37" s="19">
        <f t="shared" si="0"/>
        <v>1.4333333334652707</v>
      </c>
      <c r="O37" s="20">
        <f t="shared" si="1"/>
        <v>4.350452697620186</v>
      </c>
      <c r="P37" s="87">
        <f>daysrun(A$7:B37,M$7:M37)</f>
        <v>131.0912502737638</v>
      </c>
      <c r="Q37" s="27">
        <f t="shared" si="14"/>
        <v>36.582</v>
      </c>
      <c r="R37" s="27">
        <f t="shared" si="15"/>
        <v>-76.066</v>
      </c>
      <c r="S37" s="20">
        <f t="shared" si="11"/>
        <v>6.23564886716292</v>
      </c>
      <c r="T37" s="19">
        <f t="shared" si="12"/>
        <v>1</v>
      </c>
      <c r="U37" s="48">
        <f t="shared" si="4"/>
        <v>90</v>
      </c>
      <c r="V37" s="48">
        <f t="shared" si="5"/>
        <v>0</v>
      </c>
      <c r="W37" s="49">
        <f t="shared" si="13"/>
        <v>39250.50763888889</v>
      </c>
      <c r="X37" s="13">
        <f t="shared" si="6"/>
        <v>36.970000000000006</v>
      </c>
      <c r="Y37" s="13">
        <f t="shared" si="7"/>
        <v>-76.11</v>
      </c>
    </row>
    <row r="38" spans="1:23" ht="15">
      <c r="A38" s="30"/>
      <c r="B38" s="84"/>
      <c r="C38" s="30"/>
      <c r="D38" s="30"/>
      <c r="E38" s="59"/>
      <c r="F38" s="60"/>
      <c r="G38" s="59"/>
      <c r="H38" s="30"/>
      <c r="I38" s="84"/>
      <c r="J38" s="61"/>
      <c r="K38" s="62"/>
      <c r="L38" s="63"/>
      <c r="M38" s="63"/>
      <c r="N38" s="64">
        <f>SUM(N7:N37)</f>
        <v>137.18333333346527</v>
      </c>
      <c r="O38" s="63"/>
      <c r="P38" s="64"/>
      <c r="Q38" s="65"/>
      <c r="R38" s="65"/>
      <c r="S38" s="63"/>
      <c r="T38" s="64"/>
      <c r="U38" s="62"/>
      <c r="V38" s="62"/>
      <c r="W38" s="66"/>
    </row>
    <row r="39" spans="1:23" ht="15.75" thickBot="1">
      <c r="A39" s="30"/>
      <c r="B39" s="84"/>
      <c r="C39" s="30"/>
      <c r="D39" s="30"/>
      <c r="E39" s="59"/>
      <c r="F39" s="60"/>
      <c r="G39" s="59"/>
      <c r="H39" s="30"/>
      <c r="I39" s="84"/>
      <c r="J39" s="61"/>
      <c r="K39" s="62"/>
      <c r="L39" s="63"/>
      <c r="M39" s="63"/>
      <c r="N39" s="64"/>
      <c r="O39" s="63"/>
      <c r="P39" s="64"/>
      <c r="Q39" s="65"/>
      <c r="R39" s="65"/>
      <c r="S39" s="63"/>
      <c r="T39" s="64"/>
      <c r="U39" s="62"/>
      <c r="V39" s="62"/>
      <c r="W39" s="66"/>
    </row>
    <row r="40" spans="16:17" ht="15.75">
      <c r="P40" s="21">
        <f>MAX(P$8:P$37)</f>
        <v>134.7887344677345</v>
      </c>
      <c r="Q40" s="22" t="s">
        <v>46</v>
      </c>
    </row>
    <row r="41" spans="1:17" ht="15.75">
      <c r="A41" s="13">
        <v>0</v>
      </c>
      <c r="P41" s="23">
        <f>minnotzero(P$8:P$37)</f>
        <v>95.10579233188787</v>
      </c>
      <c r="Q41" s="24" t="s">
        <v>47</v>
      </c>
    </row>
    <row r="42" spans="16:17" ht="16.5" thickBot="1">
      <c r="P42" s="25">
        <f>avgnotzero(P$8:P$37)</f>
        <v>119.71866857297779</v>
      </c>
      <c r="Q42" s="26" t="s">
        <v>48</v>
      </c>
    </row>
  </sheetData>
  <sheetProtection formatCells="0" insertRows="0" deleteRows="0" sort="0"/>
  <mergeCells count="9">
    <mergeCell ref="A2:B2"/>
    <mergeCell ref="A3:B3"/>
    <mergeCell ref="F5:I5"/>
    <mergeCell ref="K2:L2"/>
    <mergeCell ref="U5:V5"/>
    <mergeCell ref="F1:G1"/>
    <mergeCell ref="F2:G2"/>
    <mergeCell ref="F3:G3"/>
    <mergeCell ref="K5:O5"/>
  </mergeCells>
  <printOptions horizontalCentered="1" verticalCentered="1"/>
  <pageMargins left="0.75" right="0.75" top="1" bottom="1" header="0.5" footer="0.5"/>
  <pageSetup fitToHeight="1" fitToWidth="1" horizontalDpi="360" verticalDpi="360" orientation="landscape" scale="64" r:id="rId1"/>
  <headerFooter alignWithMargins="0">
    <oddHeader>&amp;C&amp;"Arial,Bold Italic"&amp;20NAVIGATION LOG</oddHeader>
  </headerFooter>
</worksheet>
</file>

<file path=xl/worksheets/sheet3.xml><?xml version="1.0" encoding="utf-8"?>
<worksheet xmlns="http://schemas.openxmlformats.org/spreadsheetml/2006/main" xmlns:r="http://schemas.openxmlformats.org/officeDocument/2006/relationships">
  <sheetPr codeName="Sheet2"/>
  <dimension ref="A1:A1"/>
  <sheetViews>
    <sheetView workbookViewId="0" topLeftCell="A13">
      <selection activeCell="A2" sqref="A2"/>
    </sheetView>
  </sheetViews>
  <sheetFormatPr defaultColWidth="9.140625" defaultRowHeight="12.75"/>
  <sheetData/>
  <sheetProtection sheet="1" objects="1" scenarios="1" selectLockedCells="1" selectUnlockedCells="1"/>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
  <dimension ref="A1:M23"/>
  <sheetViews>
    <sheetView workbookViewId="0" topLeftCell="A1">
      <pane ySplit="2" topLeftCell="BM3" activePane="bottomLeft" state="frozen"/>
      <selection pane="topLeft" activeCell="A1" sqref="A1"/>
      <selection pane="bottomLeft" activeCell="A19" sqref="A19:IV19"/>
    </sheetView>
  </sheetViews>
  <sheetFormatPr defaultColWidth="9.140625" defaultRowHeight="12.75"/>
  <cols>
    <col min="1" max="1" width="9.140625" style="78" customWidth="1"/>
    <col min="2" max="2" width="9.140625" style="77" customWidth="1"/>
    <col min="3" max="3" width="9.140625" style="78" customWidth="1"/>
    <col min="4" max="4" width="9.140625" style="77" customWidth="1"/>
    <col min="5" max="5" width="9.140625" style="106" customWidth="1"/>
    <col min="6" max="6" width="9.140625" style="78" customWidth="1"/>
    <col min="7" max="8" width="9.140625" style="95" customWidth="1"/>
    <col min="9" max="9" width="9.8515625" style="101" bestFit="1" customWidth="1"/>
    <col min="10" max="10" width="9.140625" style="89" customWidth="1"/>
    <col min="11" max="12" width="9.140625" style="78" customWidth="1"/>
    <col min="13" max="13" width="46.7109375" style="78" customWidth="1"/>
    <col min="14" max="16384" width="9.140625" style="78" customWidth="1"/>
  </cols>
  <sheetData>
    <row r="1" spans="1:12" s="95" customFormat="1" ht="12.75">
      <c r="A1" s="122" t="s">
        <v>87</v>
      </c>
      <c r="B1" s="122"/>
      <c r="C1" s="122" t="s">
        <v>88</v>
      </c>
      <c r="D1" s="122"/>
      <c r="E1" s="103"/>
      <c r="F1" s="91"/>
      <c r="G1" s="92" t="s">
        <v>89</v>
      </c>
      <c r="H1" s="93">
        <f>FuelCap</f>
        <v>110</v>
      </c>
      <c r="I1" s="94" t="s">
        <v>115</v>
      </c>
      <c r="J1" s="94" t="s">
        <v>116</v>
      </c>
      <c r="K1" s="91" t="s">
        <v>90</v>
      </c>
      <c r="L1" s="91" t="s">
        <v>91</v>
      </c>
    </row>
    <row r="2" spans="1:13" s="95" customFormat="1" ht="12.75">
      <c r="A2" s="91" t="s">
        <v>54</v>
      </c>
      <c r="B2" s="96" t="s">
        <v>39</v>
      </c>
      <c r="C2" s="91" t="s">
        <v>54</v>
      </c>
      <c r="D2" s="96" t="s">
        <v>39</v>
      </c>
      <c r="E2" s="104" t="s">
        <v>91</v>
      </c>
      <c r="F2" s="91" t="s">
        <v>92</v>
      </c>
      <c r="G2" s="91" t="s">
        <v>93</v>
      </c>
      <c r="H2" s="91" t="s">
        <v>94</v>
      </c>
      <c r="I2" s="94" t="s">
        <v>95</v>
      </c>
      <c r="J2" s="94" t="s">
        <v>95</v>
      </c>
      <c r="K2" s="91" t="s">
        <v>114</v>
      </c>
      <c r="L2" s="91" t="s">
        <v>145</v>
      </c>
      <c r="M2" s="91" t="s">
        <v>35</v>
      </c>
    </row>
    <row r="3" spans="1:12" ht="12.75">
      <c r="A3" s="76">
        <v>39244</v>
      </c>
      <c r="B3" s="77">
        <v>1900</v>
      </c>
      <c r="C3" s="76">
        <v>39245</v>
      </c>
      <c r="D3" s="77">
        <v>1419</v>
      </c>
      <c r="E3" s="105">
        <f aca="true" ca="1" t="shared" si="0" ref="E3:E18">IF(D3&gt;0,(C3-A3+timecalc(D3)-timecalc(B3)),IF(B3&gt;0,NOW()-A3-timecalc(B3),0))*24</f>
        <v>19.316666666666666</v>
      </c>
      <c r="F3" s="78" t="s">
        <v>121</v>
      </c>
      <c r="G3" s="97">
        <f aca="true" t="shared" si="1" ref="G3:G18">IF(F3="Eng",EngRate,IF(F3="Gen",GenRate,0))*E3</f>
        <v>15.453333333333333</v>
      </c>
      <c r="H3" s="97">
        <f>IF(G3&gt;0,H1-G3,0)</f>
        <v>94.54666666666667</v>
      </c>
      <c r="I3" s="98">
        <f>IF(G3&gt;0,1-G3/FuelMain,"")</f>
        <v>0.7424444444444445</v>
      </c>
      <c r="K3" s="108">
        <f aca="true" t="shared" si="2" ref="K3:K18">IF(J3&gt;0,J3*FuelMain,"")</f>
      </c>
      <c r="L3" s="108">
        <f aca="true" t="shared" si="3" ref="L3:L18">IF(A3&gt;0,H3/VLOOKUP(F3,MotorTable,2),"")</f>
        <v>118.18333333333332</v>
      </c>
    </row>
    <row r="4" spans="1:13" ht="12.75">
      <c r="A4" s="76">
        <v>39245</v>
      </c>
      <c r="B4" s="77">
        <v>1712</v>
      </c>
      <c r="C4" s="76">
        <v>39246</v>
      </c>
      <c r="D4" s="77">
        <v>313</v>
      </c>
      <c r="E4" s="105">
        <f ca="1" t="shared" si="0"/>
        <v>10.01666666666667</v>
      </c>
      <c r="F4" s="78" t="s">
        <v>121</v>
      </c>
      <c r="G4" s="97">
        <f t="shared" si="1"/>
        <v>8.013333333333335</v>
      </c>
      <c r="H4" s="97">
        <f aca="true" t="shared" si="4" ref="H4:H18">IF(G4&gt;0,H3-G4,0)</f>
        <v>86.53333333333333</v>
      </c>
      <c r="I4" s="98">
        <f aca="true" t="shared" si="5" ref="I4:I18">IF(G4&gt;0,IF(J4&gt;0,J4,I3-G4/FuelMain),"")</f>
        <v>0.625</v>
      </c>
      <c r="J4" s="89">
        <v>0.625</v>
      </c>
      <c r="K4" s="108">
        <f t="shared" si="2"/>
        <v>37.5</v>
      </c>
      <c r="L4" s="108">
        <f t="shared" si="3"/>
        <v>108.16666666666666</v>
      </c>
      <c r="M4" s="102"/>
    </row>
    <row r="5" spans="1:12" ht="12.75">
      <c r="A5" s="76">
        <v>39246</v>
      </c>
      <c r="B5" s="77">
        <v>313</v>
      </c>
      <c r="C5" s="76">
        <f aca="true" t="shared" si="6" ref="C5:C18">A5</f>
        <v>39246</v>
      </c>
      <c r="D5" s="77">
        <v>1310</v>
      </c>
      <c r="E5" s="105">
        <f ca="1" t="shared" si="0"/>
        <v>9.95</v>
      </c>
      <c r="F5" s="78" t="s">
        <v>121</v>
      </c>
      <c r="G5" s="97">
        <f t="shared" si="1"/>
        <v>7.96</v>
      </c>
      <c r="H5" s="97">
        <f t="shared" si="4"/>
        <v>78.57333333333334</v>
      </c>
      <c r="I5" s="98">
        <f t="shared" si="5"/>
        <v>0.49233333333333335</v>
      </c>
      <c r="K5" s="108">
        <f t="shared" si="2"/>
      </c>
      <c r="L5" s="108">
        <f t="shared" si="3"/>
        <v>98.21666666666667</v>
      </c>
    </row>
    <row r="6" spans="1:13" ht="12.75">
      <c r="A6" s="76">
        <v>39246</v>
      </c>
      <c r="B6" s="77">
        <v>1330</v>
      </c>
      <c r="C6" s="76">
        <f t="shared" si="6"/>
        <v>39246</v>
      </c>
      <c r="D6" s="77">
        <v>1819</v>
      </c>
      <c r="E6" s="105">
        <f ca="1" t="shared" si="0"/>
        <v>4.8166666666666655</v>
      </c>
      <c r="F6" s="78" t="s">
        <v>121</v>
      </c>
      <c r="G6" s="97">
        <f t="shared" si="1"/>
        <v>3.8533333333333326</v>
      </c>
      <c r="H6" s="97">
        <f t="shared" si="4"/>
        <v>74.72</v>
      </c>
      <c r="I6" s="98">
        <f t="shared" si="5"/>
        <v>0.9375</v>
      </c>
      <c r="J6" s="89">
        <v>0.9375</v>
      </c>
      <c r="K6" s="108">
        <f t="shared" si="2"/>
        <v>56.25</v>
      </c>
      <c r="L6" s="108">
        <f t="shared" si="3"/>
        <v>93.39999999999999</v>
      </c>
      <c r="M6" s="78" t="s">
        <v>132</v>
      </c>
    </row>
    <row r="7" spans="1:12" ht="12.75">
      <c r="A7" s="76">
        <v>39246</v>
      </c>
      <c r="B7" s="77">
        <v>1819</v>
      </c>
      <c r="C7" s="76">
        <f t="shared" si="6"/>
        <v>39246</v>
      </c>
      <c r="D7" s="77">
        <v>2026</v>
      </c>
      <c r="E7" s="105">
        <f ca="1" t="shared" si="0"/>
        <v>2.116666666666667</v>
      </c>
      <c r="F7" s="78" t="s">
        <v>121</v>
      </c>
      <c r="G7" s="97">
        <f t="shared" si="1"/>
        <v>1.6933333333333338</v>
      </c>
      <c r="H7" s="97">
        <f t="shared" si="4"/>
        <v>73.02666666666667</v>
      </c>
      <c r="I7" s="98">
        <f t="shared" si="5"/>
        <v>0.9092777777777777</v>
      </c>
      <c r="K7" s="108">
        <f t="shared" si="2"/>
      </c>
      <c r="L7" s="108">
        <f t="shared" si="3"/>
        <v>91.28333333333333</v>
      </c>
    </row>
    <row r="8" spans="1:12" ht="12.75">
      <c r="A8" s="76">
        <v>39246</v>
      </c>
      <c r="B8" s="77">
        <v>2354</v>
      </c>
      <c r="C8" s="76">
        <v>39247</v>
      </c>
      <c r="D8" s="77">
        <v>330</v>
      </c>
      <c r="E8" s="105">
        <f ca="1" t="shared" si="0"/>
        <v>3.6000000000000005</v>
      </c>
      <c r="F8" s="78" t="s">
        <v>121</v>
      </c>
      <c r="G8" s="97">
        <f t="shared" si="1"/>
        <v>2.880000000000001</v>
      </c>
      <c r="H8" s="97">
        <f t="shared" si="4"/>
        <v>70.14666666666668</v>
      </c>
      <c r="I8" s="98">
        <f t="shared" si="5"/>
        <v>0.8612777777777777</v>
      </c>
      <c r="K8" s="108">
        <f t="shared" si="2"/>
      </c>
      <c r="L8" s="108">
        <f t="shared" si="3"/>
        <v>87.68333333333334</v>
      </c>
    </row>
    <row r="9" spans="1:12" ht="12.75">
      <c r="A9" s="76">
        <v>39247</v>
      </c>
      <c r="B9" s="77">
        <v>355</v>
      </c>
      <c r="C9" s="76">
        <f t="shared" si="6"/>
        <v>39247</v>
      </c>
      <c r="D9" s="77">
        <v>1115</v>
      </c>
      <c r="E9" s="105">
        <f ca="1" t="shared" si="0"/>
        <v>7.333333333333334</v>
      </c>
      <c r="F9" s="78" t="s">
        <v>121</v>
      </c>
      <c r="G9" s="97">
        <f t="shared" si="1"/>
        <v>5.866666666666667</v>
      </c>
      <c r="H9" s="97">
        <f t="shared" si="4"/>
        <v>64.28</v>
      </c>
      <c r="I9" s="98">
        <f t="shared" si="5"/>
        <v>0.7635</v>
      </c>
      <c r="K9" s="108">
        <f t="shared" si="2"/>
      </c>
      <c r="L9" s="108">
        <f t="shared" si="3"/>
        <v>80.35</v>
      </c>
    </row>
    <row r="10" spans="1:13" ht="12.75">
      <c r="A10" s="76">
        <v>39247</v>
      </c>
      <c r="B10" s="77">
        <v>1610</v>
      </c>
      <c r="C10" s="76">
        <f t="shared" si="6"/>
        <v>39247</v>
      </c>
      <c r="D10" s="77">
        <v>2030</v>
      </c>
      <c r="E10" s="105">
        <f ca="1" t="shared" si="0"/>
        <v>4.333333333333331</v>
      </c>
      <c r="F10" s="78" t="s">
        <v>121</v>
      </c>
      <c r="G10" s="97">
        <f t="shared" si="1"/>
        <v>3.466666666666665</v>
      </c>
      <c r="H10" s="97">
        <f t="shared" si="4"/>
        <v>60.81333333333333</v>
      </c>
      <c r="I10" s="98">
        <f t="shared" si="5"/>
        <v>1</v>
      </c>
      <c r="J10" s="89">
        <v>1</v>
      </c>
      <c r="K10" s="108">
        <f t="shared" si="2"/>
        <v>60</v>
      </c>
      <c r="L10" s="108">
        <f t="shared" si="3"/>
        <v>76.01666666666667</v>
      </c>
      <c r="M10" s="78" t="s">
        <v>143</v>
      </c>
    </row>
    <row r="11" spans="1:12" ht="12.75">
      <c r="A11" s="76">
        <v>39247</v>
      </c>
      <c r="B11" s="77">
        <v>2030</v>
      </c>
      <c r="C11" s="76">
        <v>39248</v>
      </c>
      <c r="D11" s="77">
        <v>1010</v>
      </c>
      <c r="E11" s="105">
        <f ca="1" t="shared" si="0"/>
        <v>13.666666666666668</v>
      </c>
      <c r="F11" s="78" t="s">
        <v>121</v>
      </c>
      <c r="G11" s="97">
        <f t="shared" si="1"/>
        <v>10.933333333333335</v>
      </c>
      <c r="H11" s="97">
        <f t="shared" si="4"/>
        <v>49.879999999999995</v>
      </c>
      <c r="I11" s="98">
        <f t="shared" si="5"/>
        <v>0.8125</v>
      </c>
      <c r="J11" s="89">
        <v>0.8125</v>
      </c>
      <c r="K11" s="108">
        <f t="shared" si="2"/>
        <v>48.75</v>
      </c>
      <c r="L11" s="108">
        <f t="shared" si="3"/>
        <v>62.349999999999994</v>
      </c>
    </row>
    <row r="12" spans="1:12" ht="12.75">
      <c r="A12" s="76">
        <v>39248</v>
      </c>
      <c r="B12" s="77">
        <v>1010</v>
      </c>
      <c r="C12" s="76">
        <f t="shared" si="6"/>
        <v>39248</v>
      </c>
      <c r="D12" s="77">
        <v>1108</v>
      </c>
      <c r="E12" s="105">
        <f ca="1" t="shared" si="0"/>
        <v>0.9666666666666659</v>
      </c>
      <c r="F12" s="78" t="s">
        <v>121</v>
      </c>
      <c r="G12" s="97">
        <f t="shared" si="1"/>
        <v>0.7733333333333328</v>
      </c>
      <c r="H12" s="97">
        <f t="shared" si="4"/>
        <v>49.10666666666666</v>
      </c>
      <c r="I12" s="98">
        <f t="shared" si="5"/>
        <v>0.7996111111111112</v>
      </c>
      <c r="K12" s="108">
        <f t="shared" si="2"/>
      </c>
      <c r="L12" s="108">
        <f t="shared" si="3"/>
        <v>61.383333333333326</v>
      </c>
    </row>
    <row r="13" spans="1:12" ht="12.75">
      <c r="A13" s="76">
        <v>39248</v>
      </c>
      <c r="B13" s="77">
        <v>1610</v>
      </c>
      <c r="C13" s="76">
        <f t="shared" si="6"/>
        <v>39248</v>
      </c>
      <c r="D13" s="77">
        <v>1814</v>
      </c>
      <c r="E13" s="105">
        <f ca="1" t="shared" si="0"/>
        <v>2.0666666666666673</v>
      </c>
      <c r="F13" s="78" t="s">
        <v>152</v>
      </c>
      <c r="G13" s="97">
        <f t="shared" si="1"/>
        <v>0.4133333333333335</v>
      </c>
      <c r="H13" s="97">
        <f t="shared" si="4"/>
        <v>48.69333333333333</v>
      </c>
      <c r="I13" s="98">
        <f t="shared" si="5"/>
        <v>0.7927222222222222</v>
      </c>
      <c r="K13" s="108">
        <f t="shared" si="2"/>
      </c>
      <c r="L13" s="108">
        <f t="shared" si="3"/>
        <v>243.46666666666664</v>
      </c>
    </row>
    <row r="14" spans="1:12" ht="12.75">
      <c r="A14" s="76">
        <v>39248</v>
      </c>
      <c r="B14" s="77">
        <v>2350</v>
      </c>
      <c r="C14" s="76">
        <v>39249</v>
      </c>
      <c r="D14" s="77">
        <v>600</v>
      </c>
      <c r="E14" s="105">
        <f ca="1" t="shared" si="0"/>
        <v>6.166666666666669</v>
      </c>
      <c r="F14" s="78" t="s">
        <v>121</v>
      </c>
      <c r="G14" s="97">
        <f t="shared" si="1"/>
        <v>4.933333333333335</v>
      </c>
      <c r="H14" s="97">
        <f t="shared" si="4"/>
        <v>43.75999999999999</v>
      </c>
      <c r="I14" s="98">
        <f t="shared" si="5"/>
        <v>0.7104999999999999</v>
      </c>
      <c r="K14" s="108">
        <f t="shared" si="2"/>
      </c>
      <c r="L14" s="108">
        <f t="shared" si="3"/>
        <v>54.69999999999999</v>
      </c>
    </row>
    <row r="15" spans="1:12" ht="12.75">
      <c r="A15" s="76">
        <v>39249</v>
      </c>
      <c r="B15" s="77">
        <v>612</v>
      </c>
      <c r="C15" s="76">
        <f t="shared" si="6"/>
        <v>39249</v>
      </c>
      <c r="D15" s="77">
        <v>1125</v>
      </c>
      <c r="E15" s="105">
        <f ca="1" t="shared" si="0"/>
        <v>5.216666666666665</v>
      </c>
      <c r="F15" s="78" t="s">
        <v>121</v>
      </c>
      <c r="G15" s="97">
        <f t="shared" si="1"/>
        <v>4.173333333333332</v>
      </c>
      <c r="H15" s="97">
        <f t="shared" si="4"/>
        <v>39.58666666666666</v>
      </c>
      <c r="I15" s="98">
        <f t="shared" si="5"/>
        <v>0.6409444444444443</v>
      </c>
      <c r="K15" s="108">
        <f t="shared" si="2"/>
      </c>
      <c r="L15" s="108">
        <f t="shared" si="3"/>
        <v>49.48333333333332</v>
      </c>
    </row>
    <row r="16" spans="1:12" ht="12.75">
      <c r="A16" s="76">
        <v>39249</v>
      </c>
      <c r="B16" s="77">
        <v>1413</v>
      </c>
      <c r="C16" s="76">
        <v>39249</v>
      </c>
      <c r="D16" s="77">
        <v>2201</v>
      </c>
      <c r="E16" s="105">
        <f ca="1" t="shared" si="0"/>
        <v>7.799999999999999</v>
      </c>
      <c r="F16" s="78" t="s">
        <v>121</v>
      </c>
      <c r="G16" s="97">
        <f t="shared" si="1"/>
        <v>6.239999999999999</v>
      </c>
      <c r="H16" s="97">
        <f t="shared" si="4"/>
        <v>33.34666666666666</v>
      </c>
      <c r="I16" s="98">
        <f t="shared" si="5"/>
        <v>0.59375</v>
      </c>
      <c r="J16" s="89">
        <v>0.59375</v>
      </c>
      <c r="K16" s="108">
        <f t="shared" si="2"/>
        <v>35.625</v>
      </c>
      <c r="L16" s="108">
        <f t="shared" si="3"/>
        <v>41.683333333333316</v>
      </c>
    </row>
    <row r="17" spans="1:13" ht="12.75">
      <c r="A17" s="76">
        <v>39249</v>
      </c>
      <c r="B17" s="77">
        <v>2201</v>
      </c>
      <c r="C17" s="76">
        <v>39250</v>
      </c>
      <c r="D17" s="77">
        <v>1211</v>
      </c>
      <c r="E17" s="105">
        <f ca="1" t="shared" si="0"/>
        <v>14.166666666666664</v>
      </c>
      <c r="F17" s="78" t="s">
        <v>121</v>
      </c>
      <c r="G17" s="97">
        <f t="shared" si="1"/>
        <v>11.333333333333332</v>
      </c>
      <c r="H17" s="97">
        <f t="shared" si="4"/>
        <v>22.013333333333325</v>
      </c>
      <c r="I17" s="98">
        <f t="shared" si="5"/>
        <v>0.4048611111111111</v>
      </c>
      <c r="K17" s="108">
        <f t="shared" si="2"/>
      </c>
      <c r="L17" s="108">
        <f t="shared" si="3"/>
        <v>27.516666666666655</v>
      </c>
      <c r="M17" s="78" t="s">
        <v>163</v>
      </c>
    </row>
    <row r="18" spans="1:13" ht="12.75">
      <c r="A18" s="76">
        <v>39250</v>
      </c>
      <c r="B18" s="77">
        <v>1211</v>
      </c>
      <c r="C18" s="76">
        <f t="shared" si="6"/>
        <v>39250</v>
      </c>
      <c r="D18" s="77">
        <v>1330</v>
      </c>
      <c r="E18" s="105">
        <f ca="1" t="shared" si="0"/>
        <v>1.3166666666666673</v>
      </c>
      <c r="F18" s="78" t="s">
        <v>121</v>
      </c>
      <c r="G18" s="97">
        <f t="shared" si="1"/>
        <v>1.053333333333334</v>
      </c>
      <c r="H18" s="97">
        <f t="shared" si="4"/>
        <v>20.95999999999999</v>
      </c>
      <c r="I18" s="98">
        <f t="shared" si="5"/>
        <v>0.875</v>
      </c>
      <c r="J18" s="89">
        <v>0.875</v>
      </c>
      <c r="K18" s="108">
        <f t="shared" si="2"/>
        <v>52.5</v>
      </c>
      <c r="L18" s="108">
        <f t="shared" si="3"/>
        <v>26.199999999999985</v>
      </c>
      <c r="M18" s="78" t="s">
        <v>164</v>
      </c>
    </row>
    <row r="19" spans="1:12" ht="12.75">
      <c r="A19" s="76"/>
      <c r="C19" s="76"/>
      <c r="E19" s="105"/>
      <c r="G19" s="97"/>
      <c r="H19" s="97"/>
      <c r="I19" s="98"/>
      <c r="K19" s="108"/>
      <c r="L19" s="108"/>
    </row>
    <row r="20" spans="6:9" ht="12.75">
      <c r="F20" s="90" t="s">
        <v>100</v>
      </c>
      <c r="G20" s="97">
        <f>SUM(G3:G18)</f>
        <v>89.03999999999999</v>
      </c>
      <c r="H20" s="99"/>
      <c r="I20" s="100"/>
    </row>
    <row r="21" spans="6:7" ht="12.75">
      <c r="F21" s="90" t="s">
        <v>101</v>
      </c>
      <c r="G21" s="97">
        <f>DSUM(MotorHours,1,MotorEng)</f>
        <v>110.78333333333333</v>
      </c>
    </row>
    <row r="22" spans="6:7" ht="12.75">
      <c r="F22" s="90" t="s">
        <v>102</v>
      </c>
      <c r="G22" s="97">
        <f>DSUM(MotorHours,1,MotorGen)</f>
        <v>2.0666666666666673</v>
      </c>
    </row>
    <row r="23" spans="6:7" ht="12.75">
      <c r="F23" s="90" t="s">
        <v>103</v>
      </c>
      <c r="G23" s="97">
        <f>SUM(G21:G22)</f>
        <v>112.85</v>
      </c>
    </row>
  </sheetData>
  <sheetProtection/>
  <mergeCells count="2">
    <mergeCell ref="A1:B1"/>
    <mergeCell ref="C1:D1"/>
  </mergeCells>
  <dataValidations count="1">
    <dataValidation type="list" allowBlank="1" showInputMessage="1" showErrorMessage="1" sqref="F3:F19">
      <formula1>EngGenList</formula1>
    </dataValidation>
  </dataValidation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
  <dimension ref="A1:F30"/>
  <sheetViews>
    <sheetView workbookViewId="0" topLeftCell="A1">
      <selection activeCell="C24" sqref="C24"/>
    </sheetView>
  </sheetViews>
  <sheetFormatPr defaultColWidth="9.140625" defaultRowHeight="12.75"/>
  <sheetData>
    <row r="1" spans="1:6" ht="12.75">
      <c r="A1" t="s">
        <v>92</v>
      </c>
      <c r="B1" t="s">
        <v>98</v>
      </c>
      <c r="C1" t="s">
        <v>146</v>
      </c>
      <c r="D1" t="s">
        <v>148</v>
      </c>
      <c r="E1" t="s">
        <v>149</v>
      </c>
      <c r="F1" t="s">
        <v>150</v>
      </c>
    </row>
    <row r="2" spans="1:6" ht="12.75">
      <c r="A2" t="s">
        <v>96</v>
      </c>
      <c r="B2">
        <v>0.8</v>
      </c>
      <c r="C2">
        <v>1700</v>
      </c>
      <c r="D2">
        <f>0.2/300</f>
        <v>0.0006666666666666668</v>
      </c>
      <c r="E2">
        <v>6</v>
      </c>
      <c r="F2">
        <f>0.1/300</f>
        <v>0.0003333333333333334</v>
      </c>
    </row>
    <row r="3" spans="1:3" ht="12.75">
      <c r="A3" t="s">
        <v>97</v>
      </c>
      <c r="B3">
        <v>0.2</v>
      </c>
      <c r="C3" t="e">
        <f>NA()</f>
        <v>#N/A</v>
      </c>
    </row>
    <row r="6" spans="1:2" ht="12.75">
      <c r="A6" t="s">
        <v>92</v>
      </c>
      <c r="B6" t="s">
        <v>92</v>
      </c>
    </row>
    <row r="7" spans="1:2" ht="12.75">
      <c r="A7" t="s">
        <v>96</v>
      </c>
      <c r="B7" t="s">
        <v>97</v>
      </c>
    </row>
    <row r="9" spans="1:4" ht="12.75">
      <c r="A9" t="s">
        <v>104</v>
      </c>
      <c r="B9" t="s">
        <v>105</v>
      </c>
      <c r="C9" t="s">
        <v>106</v>
      </c>
      <c r="D9" t="s">
        <v>107</v>
      </c>
    </row>
    <row r="10" spans="1:4" ht="12.75">
      <c r="A10" t="s">
        <v>108</v>
      </c>
      <c r="B10">
        <v>60</v>
      </c>
      <c r="C10">
        <v>1</v>
      </c>
      <c r="D10">
        <f>B10*C10</f>
        <v>60</v>
      </c>
    </row>
    <row r="11" spans="1:4" ht="12.75">
      <c r="A11" t="s">
        <v>109</v>
      </c>
      <c r="B11">
        <v>5</v>
      </c>
      <c r="C11">
        <v>10</v>
      </c>
      <c r="D11">
        <f>B11*C11</f>
        <v>50</v>
      </c>
    </row>
    <row r="12" ht="12.75">
      <c r="D12">
        <f>SUM(D10:D11)</f>
        <v>110</v>
      </c>
    </row>
    <row r="15" ht="12.75">
      <c r="A15" t="s">
        <v>147</v>
      </c>
    </row>
    <row r="16" spans="1:3" ht="12.75">
      <c r="A16" t="s">
        <v>146</v>
      </c>
      <c r="B16" t="s">
        <v>98</v>
      </c>
      <c r="C16" t="s">
        <v>40</v>
      </c>
    </row>
    <row r="17" spans="1:3" ht="12.75">
      <c r="A17">
        <v>1000</v>
      </c>
      <c r="B17" s="109">
        <f aca="true" t="shared" si="0" ref="B17:B30">Eng_Rate*(1+(A17-$C$2)*$D$2)</f>
        <v>0.4266666666666666</v>
      </c>
      <c r="C17" s="109">
        <f>$E$2*(1+(A17-$C$2)*$F$2)</f>
        <v>4.6</v>
      </c>
    </row>
    <row r="18" spans="1:3" ht="12.75">
      <c r="A18">
        <f>A17+100</f>
        <v>1100</v>
      </c>
      <c r="B18" s="109">
        <f t="shared" si="0"/>
        <v>0.4799999999999999</v>
      </c>
      <c r="C18" s="109">
        <f aca="true" t="shared" si="1" ref="C18:C30">$E$2*(1+(A18-$C$2)*$F$2)</f>
        <v>4.8</v>
      </c>
    </row>
    <row r="19" spans="1:3" ht="12.75">
      <c r="A19">
        <f aca="true" t="shared" si="2" ref="A19:A30">A18+100</f>
        <v>1200</v>
      </c>
      <c r="B19" s="109">
        <f t="shared" si="0"/>
        <v>0.5333333333333333</v>
      </c>
      <c r="C19" s="109">
        <f t="shared" si="1"/>
        <v>5</v>
      </c>
    </row>
    <row r="20" spans="1:3" ht="12.75">
      <c r="A20">
        <f t="shared" si="2"/>
        <v>1300</v>
      </c>
      <c r="B20" s="109">
        <f t="shared" si="0"/>
        <v>0.5866666666666667</v>
      </c>
      <c r="C20" s="109">
        <f t="shared" si="1"/>
        <v>5.2</v>
      </c>
    </row>
    <row r="21" spans="1:3" ht="12.75">
      <c r="A21">
        <f t="shared" si="2"/>
        <v>1400</v>
      </c>
      <c r="B21" s="109">
        <f t="shared" si="0"/>
        <v>0.64</v>
      </c>
      <c r="C21" s="109">
        <f t="shared" si="1"/>
        <v>5.4</v>
      </c>
    </row>
    <row r="22" spans="1:3" ht="12.75">
      <c r="A22">
        <f t="shared" si="2"/>
        <v>1500</v>
      </c>
      <c r="B22" s="109">
        <f t="shared" si="0"/>
        <v>0.6933333333333334</v>
      </c>
      <c r="C22" s="109">
        <f t="shared" si="1"/>
        <v>5.6</v>
      </c>
    </row>
    <row r="23" spans="1:3" ht="12.75">
      <c r="A23">
        <f t="shared" si="2"/>
        <v>1600</v>
      </c>
      <c r="B23" s="109">
        <f t="shared" si="0"/>
        <v>0.7466666666666667</v>
      </c>
      <c r="C23" s="109">
        <f t="shared" si="1"/>
        <v>5.8</v>
      </c>
    </row>
    <row r="24" spans="1:3" ht="12.75">
      <c r="A24">
        <f t="shared" si="2"/>
        <v>1700</v>
      </c>
      <c r="B24" s="109">
        <f t="shared" si="0"/>
        <v>0.8</v>
      </c>
      <c r="C24" s="109">
        <f t="shared" si="1"/>
        <v>6</v>
      </c>
    </row>
    <row r="25" spans="1:3" ht="12.75">
      <c r="A25">
        <f t="shared" si="2"/>
        <v>1800</v>
      </c>
      <c r="B25" s="109">
        <f t="shared" si="0"/>
        <v>0.8533333333333334</v>
      </c>
      <c r="C25" s="109">
        <f t="shared" si="1"/>
        <v>6.200000000000001</v>
      </c>
    </row>
    <row r="26" spans="1:3" ht="12.75">
      <c r="A26">
        <f t="shared" si="2"/>
        <v>1900</v>
      </c>
      <c r="B26" s="109">
        <f t="shared" si="0"/>
        <v>0.9066666666666667</v>
      </c>
      <c r="C26" s="109">
        <f t="shared" si="1"/>
        <v>6.4</v>
      </c>
    </row>
    <row r="27" spans="1:3" ht="12.75">
      <c r="A27">
        <f t="shared" si="2"/>
        <v>2000</v>
      </c>
      <c r="B27" s="109">
        <f t="shared" si="0"/>
        <v>0.96</v>
      </c>
      <c r="C27" s="109">
        <f t="shared" si="1"/>
        <v>6.6000000000000005</v>
      </c>
    </row>
    <row r="28" spans="1:3" ht="12.75">
      <c r="A28">
        <f t="shared" si="2"/>
        <v>2100</v>
      </c>
      <c r="B28" s="109">
        <f t="shared" si="0"/>
        <v>1.0133333333333334</v>
      </c>
      <c r="C28" s="109">
        <f t="shared" si="1"/>
        <v>6.8</v>
      </c>
    </row>
    <row r="29" spans="1:3" ht="12.75">
      <c r="A29">
        <f t="shared" si="2"/>
        <v>2200</v>
      </c>
      <c r="B29" s="109">
        <f t="shared" si="0"/>
        <v>1.0666666666666669</v>
      </c>
      <c r="C29" s="109">
        <f t="shared" si="1"/>
        <v>7</v>
      </c>
    </row>
    <row r="30" spans="1:3" ht="12.75">
      <c r="A30">
        <f t="shared" si="2"/>
        <v>2300</v>
      </c>
      <c r="B30" s="109">
        <f t="shared" si="0"/>
        <v>1.12</v>
      </c>
      <c r="C30" s="109">
        <f t="shared" si="1"/>
        <v>7.199999999999999</v>
      </c>
    </row>
  </sheetData>
  <sheetProtection sheet="1" objects="1" scenario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20"/>
  <dimension ref="A1:C5"/>
  <sheetViews>
    <sheetView workbookViewId="0" topLeftCell="A1">
      <pane ySplit="1" topLeftCell="BM2" activePane="bottomLeft" state="frozen"/>
      <selection pane="topLeft" activeCell="A1" sqref="A1"/>
      <selection pane="bottomLeft" activeCell="A6" sqref="A6"/>
    </sheetView>
  </sheetViews>
  <sheetFormatPr defaultColWidth="9.140625" defaultRowHeight="12.75"/>
  <cols>
    <col min="3" max="3" width="91.421875" style="8" customWidth="1"/>
  </cols>
  <sheetData>
    <row r="1" spans="1:3" ht="15.75">
      <c r="A1" s="67" t="s">
        <v>82</v>
      </c>
      <c r="B1" s="67" t="s">
        <v>54</v>
      </c>
      <c r="C1" s="74" t="s">
        <v>83</v>
      </c>
    </row>
    <row r="2" spans="1:3" ht="38.25">
      <c r="A2">
        <v>7.1</v>
      </c>
      <c r="B2" s="75">
        <v>39133</v>
      </c>
      <c r="C2" s="8" t="s">
        <v>84</v>
      </c>
    </row>
    <row r="3" spans="1:3" ht="38.25">
      <c r="A3">
        <v>7.2</v>
      </c>
      <c r="B3" s="75">
        <v>39152</v>
      </c>
      <c r="C3" s="8" t="s">
        <v>85</v>
      </c>
    </row>
    <row r="4" spans="1:3" ht="25.5">
      <c r="A4">
        <v>7.3</v>
      </c>
      <c r="B4" s="75">
        <v>39154</v>
      </c>
      <c r="C4" s="8" t="s">
        <v>86</v>
      </c>
    </row>
    <row r="5" spans="1:3" ht="12.75">
      <c r="A5">
        <v>7.9</v>
      </c>
      <c r="B5" s="75">
        <v>39244</v>
      </c>
      <c r="C5" s="8" t="s">
        <v>117</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Stevenson</dc:creator>
  <cp:keywords/>
  <dc:description/>
  <cp:lastModifiedBy>John Stevenson</cp:lastModifiedBy>
  <dcterms:created xsi:type="dcterms:W3CDTF">2003-06-17T21:22:53Z</dcterms:created>
  <dcterms:modified xsi:type="dcterms:W3CDTF">2007-06-25T18:16:12Z</dcterms:modified>
  <cp:category/>
  <cp:version/>
  <cp:contentType/>
  <cp:contentStatus/>
</cp:coreProperties>
</file>